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2.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3.xml" ContentType="application/vnd.openxmlformats-officedocument.drawing+xml"/>
  <Override PartName="/xl/charts/chart13.xml" ContentType="application/vnd.openxmlformats-officedocument.drawingml.chart+xml"/>
  <Override PartName="/xl/charts/style1.xml" ContentType="application/vnd.ms-office.chartstyle+xml"/>
  <Override PartName="/xl/charts/colors1.xml" ContentType="application/vnd.ms-office.chartcolorstyle+xml"/>
  <Override PartName="/xl/charts/chart14.xml" ContentType="application/vnd.openxmlformats-officedocument.drawingml.chart+xml"/>
  <Override PartName="/xl/charts/style2.xml" ContentType="application/vnd.ms-office.chartstyle+xml"/>
  <Override PartName="/xl/charts/colors2.xml" ContentType="application/vnd.ms-office.chartcolorstyle+xml"/>
  <Override PartName="/xl/charts/chart15.xml" ContentType="application/vnd.openxmlformats-officedocument.drawingml.chart+xml"/>
  <Override PartName="/xl/charts/style3.xml" ContentType="application/vnd.ms-office.chartstyle+xml"/>
  <Override PartName="/xl/charts/colors3.xml" ContentType="application/vnd.ms-office.chartcolorstyle+xml"/>
  <Override PartName="/xl/charts/chart16.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omments3.xml" ContentType="application/vnd.openxmlformats-officedocument.spreadsheetml.comments+xml"/>
  <Override PartName="/xl/charts/chart17.xml" ContentType="application/vnd.openxmlformats-officedocument.drawingml.chart+xml"/>
  <Override PartName="/xl/charts/style5.xml" ContentType="application/vnd.ms-office.chartstyle+xml"/>
  <Override PartName="/xl/charts/colors5.xml" ContentType="application/vnd.ms-office.chartcolorstyle+xml"/>
  <Override PartName="/xl/charts/chart18.xml" ContentType="application/vnd.openxmlformats-officedocument.drawingml.chart+xml"/>
  <Override PartName="/xl/charts/style6.xml" ContentType="application/vnd.ms-office.chartstyle+xml"/>
  <Override PartName="/xl/charts/colors6.xml" ContentType="application/vnd.ms-office.chartcolorstyle+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9_Plán obnovy\3_Dispečerizácia Prešov - Strážske\4_CBA\"/>
    </mc:Choice>
  </mc:AlternateContent>
  <bookViews>
    <workbookView xWindow="-120" yWindow="-120" windowWidth="29040" windowHeight="15840" tabRatio="931"/>
  </bookViews>
  <sheets>
    <sheet name="Parametre" sheetId="1" r:id="rId1"/>
    <sheet name="Cenová inflácia" sheetId="29" r:id="rId2"/>
    <sheet name="Hrubý domáci produkt" sheetId="30" r:id="rId3"/>
    <sheet name="Vstupy FA" sheetId="31" r:id="rId4"/>
    <sheet name="01 Investičné výdavky" sheetId="2" r:id="rId5"/>
    <sheet name="02 Zostatková hodnota" sheetId="9" r:id="rId6"/>
    <sheet name="03 Prevádzkové výdavky" sheetId="3" r:id="rId7"/>
    <sheet name="04 Prevádzkové príjmy" sheetId="4" r:id="rId8"/>
    <sheet name="05 Financovanie" sheetId="7" r:id="rId9"/>
    <sheet name="06 Finančná analýza" sheetId="6" r:id="rId10"/>
    <sheet name="Vstupy EA" sheetId="38" r:id="rId11"/>
    <sheet name="07 Čas cestujúcich" sheetId="10" r:id="rId12"/>
    <sheet name="08 Ekonomická analýza" sheetId="19" r:id="rId13"/>
    <sheet name="09 CA_FNPV_C" sheetId="33" r:id="rId14"/>
    <sheet name="10 CA_ENPV" sheetId="34" r:id="rId15"/>
    <sheet name="11 Analýza scenárov" sheetId="35" r:id="rId16"/>
    <sheet name="12 Kvalitatívna analýza" sheetId="39" r:id="rId17"/>
    <sheet name="13 Pravdepodobnostná analýza" sheetId="37" r:id="rId18"/>
  </sheets>
  <definedNames>
    <definedName name="_ftn1" localSheetId="4">'01 Investičné výdavky'!#REF!</definedName>
    <definedName name="_ftn1" localSheetId="5">'02 Zostatková hodnota'!#REF!</definedName>
    <definedName name="_ftnref1" localSheetId="4">'01 Investičné výdavky'!#REF!</definedName>
    <definedName name="_ftnref1" localSheetId="5">'02 Zostatková hodnota'!#REF!</definedName>
    <definedName name="_xlnm.Print_Area" localSheetId="14">'10 CA_ENPV'!$B$1:$O$83</definedName>
    <definedName name="_xlnm.Print_Area" localSheetId="17">'13 Pravdepodobnostná analýza'!$A$1:$AB$163</definedName>
    <definedName name="RParticipants" localSheetId="13">#REF!:INDEX(#REF!,COUNTIF(#REF!,"?*"))</definedName>
    <definedName name="RParticipants" localSheetId="14">#REF!:INDEX(#REF!,COUNTIF(#REF!,"?*"))</definedName>
    <definedName name="RParticipants" localSheetId="15">#REF!:INDEX(#REF!,COUNTIF(#REF!,"?*"))</definedName>
    <definedName name="RParticipants" localSheetId="17">#REF!:INDEX(#REF!,COUNTIF(#REF!,"?*"))</definedName>
    <definedName name="RParticipants" localSheetId="10">#REF!:INDEX(#REF!,COUNTIF(#REF!,"?*"))</definedName>
    <definedName name="RParticipants">#REF!:INDEX(#REF!,COUNTIF(#REF!,"?*"))</definedName>
    <definedName name="RWorkPackages" localSheetId="13">#REF!:INDEX(#REF!,COUNTIF(#REF!,"?*"))</definedName>
    <definedName name="RWorkPackages" localSheetId="14">#REF!:INDEX(#REF!,COUNTIF(#REF!,"?*"))</definedName>
    <definedName name="RWorkPackages" localSheetId="15">#REF!:INDEX(#REF!,COUNTIF(#REF!,"?*"))</definedName>
    <definedName name="RWorkPackages" localSheetId="17">#REF!:INDEX(#REF!,COUNTIF(#REF!,"?*"))</definedName>
    <definedName name="RWorkPackages" localSheetId="10">#REF!:INDEX(#REF!,COUNTIF(#REF!,"?*"))</definedName>
    <definedName name="RWorkPackages">#REF!:INDEX(#REF!,COUNTIF(#REF!,"?*"))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 i="19" l="1"/>
  <c r="E8" i="19"/>
  <c r="F8" i="19"/>
  <c r="G8" i="19"/>
  <c r="H8" i="19"/>
  <c r="I8" i="19"/>
  <c r="J8" i="19"/>
  <c r="K8" i="19"/>
  <c r="L8" i="19"/>
  <c r="M8" i="19"/>
  <c r="N8" i="19"/>
  <c r="O8" i="19"/>
  <c r="P8" i="19"/>
  <c r="Q8" i="19"/>
  <c r="R8" i="19"/>
  <c r="S8" i="19"/>
  <c r="T8" i="19"/>
  <c r="U8" i="19"/>
  <c r="V8" i="19"/>
  <c r="W8" i="19"/>
  <c r="X8" i="19"/>
  <c r="Y8" i="19"/>
  <c r="Z8" i="19"/>
  <c r="AA8" i="19"/>
  <c r="AB8" i="19"/>
  <c r="AC8" i="19"/>
  <c r="AD8" i="19"/>
  <c r="AE8" i="19"/>
  <c r="AF8" i="19"/>
  <c r="AG8" i="19"/>
  <c r="AH8" i="19"/>
  <c r="AI8" i="19"/>
  <c r="AJ8" i="19"/>
  <c r="AK8" i="19"/>
  <c r="AL8" i="19"/>
  <c r="AM8" i="19"/>
  <c r="AN8" i="19"/>
  <c r="AO8" i="19"/>
  <c r="AP8" i="19"/>
  <c r="AQ8" i="19"/>
  <c r="G14" i="34"/>
  <c r="L14" i="34"/>
  <c r="B80" i="34"/>
  <c r="B75" i="33"/>
  <c r="B76" i="33"/>
  <c r="B77" i="33"/>
  <c r="B78" i="33"/>
  <c r="B74" i="33"/>
  <c r="L5" i="34"/>
  <c r="G5" i="34"/>
  <c r="L13" i="33" l="1"/>
  <c r="G13" i="33"/>
  <c r="L5" i="33"/>
  <c r="G5" i="33"/>
  <c r="E15" i="1" l="1"/>
  <c r="E10" i="31" l="1"/>
  <c r="G2" i="38" l="1"/>
  <c r="C44" i="38"/>
  <c r="B82" i="38"/>
  <c r="B81" i="38"/>
  <c r="B80" i="38"/>
  <c r="B79" i="38"/>
  <c r="C72" i="38"/>
  <c r="B72" i="38"/>
  <c r="C71" i="38"/>
  <c r="B71" i="38"/>
  <c r="C70" i="38"/>
  <c r="B70" i="38"/>
  <c r="C69" i="38"/>
  <c r="B69" i="38"/>
  <c r="C66" i="38"/>
  <c r="C60" i="38"/>
  <c r="C34" i="38" s="1"/>
  <c r="B60" i="38"/>
  <c r="C59" i="38"/>
  <c r="C33" i="38" s="1"/>
  <c r="B59" i="38"/>
  <c r="C58" i="38"/>
  <c r="B58" i="38"/>
  <c r="C57" i="38"/>
  <c r="B57" i="38"/>
  <c r="D47" i="38"/>
  <c r="C47" i="38"/>
  <c r="B47" i="38"/>
  <c r="D46" i="38"/>
  <c r="B46" i="38"/>
  <c r="D45" i="38"/>
  <c r="C45" i="38"/>
  <c r="B45" i="38"/>
  <c r="D44" i="38"/>
  <c r="B44" i="38"/>
  <c r="B34" i="38"/>
  <c r="B33" i="38"/>
  <c r="B32" i="38"/>
  <c r="B31" i="38"/>
  <c r="D16" i="38"/>
  <c r="D21" i="38" s="1"/>
  <c r="D15" i="38"/>
  <c r="D20" i="38" s="1"/>
  <c r="D14" i="38"/>
  <c r="D19" i="38" s="1"/>
  <c r="D13" i="38"/>
  <c r="D18" i="38" s="1"/>
  <c r="H2" i="38"/>
  <c r="I2" i="38" s="1"/>
  <c r="J2" i="38" s="1"/>
  <c r="K2" i="38" s="1"/>
  <c r="L2" i="38" s="1"/>
  <c r="M2" i="38" s="1"/>
  <c r="N2" i="38" s="1"/>
  <c r="O2" i="38" s="1"/>
  <c r="P2" i="38" s="1"/>
  <c r="Q2" i="38" s="1"/>
  <c r="R2" i="38" s="1"/>
  <c r="S2" i="38" s="1"/>
  <c r="T2" i="38" s="1"/>
  <c r="U2" i="38" s="1"/>
  <c r="V2" i="38" s="1"/>
  <c r="W2" i="38" s="1"/>
  <c r="X2" i="38" s="1"/>
  <c r="Y2" i="38" s="1"/>
  <c r="Z2" i="38" s="1"/>
  <c r="AA2" i="38" s="1"/>
  <c r="AB2" i="38" s="1"/>
  <c r="AC2" i="38" s="1"/>
  <c r="AD2" i="38" s="1"/>
  <c r="AE2" i="38" s="1"/>
  <c r="AF2" i="38" s="1"/>
  <c r="AG2" i="38" s="1"/>
  <c r="AH2" i="38" s="1"/>
  <c r="AI2" i="38" s="1"/>
  <c r="AJ2" i="38" s="1"/>
  <c r="AK2" i="38" s="1"/>
  <c r="AL2" i="38" s="1"/>
  <c r="AM2" i="38" s="1"/>
  <c r="AN2" i="38" s="1"/>
  <c r="AO2" i="38" s="1"/>
  <c r="AP2" i="38" s="1"/>
  <c r="AQ2" i="38" s="1"/>
  <c r="AR2" i="38" s="1"/>
  <c r="AS2" i="38" s="1"/>
  <c r="AT2" i="38" s="1"/>
  <c r="C89" i="38" l="1"/>
  <c r="C46" i="38"/>
  <c r="C41" i="38" s="1"/>
  <c r="D89" i="38"/>
  <c r="H93" i="38"/>
  <c r="H45" i="38" s="1"/>
  <c r="G70" i="38"/>
  <c r="C54" i="38"/>
  <c r="C31" i="38"/>
  <c r="G45" i="38"/>
  <c r="D41" i="38"/>
  <c r="G47" i="38"/>
  <c r="D28" i="38"/>
  <c r="C32" i="38"/>
  <c r="H95" i="38"/>
  <c r="H47" i="38" s="1"/>
  <c r="G72" i="38"/>
  <c r="G58" i="38" l="1"/>
  <c r="G32" i="38"/>
  <c r="G60" i="38"/>
  <c r="G34" i="38"/>
  <c r="G71" i="38"/>
  <c r="G33" i="38" s="1"/>
  <c r="H94" i="38"/>
  <c r="G46" i="38"/>
  <c r="H92" i="38"/>
  <c r="G89" i="38"/>
  <c r="G11" i="38" s="1"/>
  <c r="G69" i="38"/>
  <c r="G31" i="38" s="1"/>
  <c r="G44" i="38"/>
  <c r="C28" i="38"/>
  <c r="I95" i="38"/>
  <c r="H72" i="38"/>
  <c r="I93" i="38"/>
  <c r="H70" i="38"/>
  <c r="H58" i="38" l="1"/>
  <c r="H32" i="38"/>
  <c r="G41" i="38"/>
  <c r="G5" i="38" s="1"/>
  <c r="I94" i="38"/>
  <c r="H71" i="38"/>
  <c r="H46" i="38"/>
  <c r="I92" i="38"/>
  <c r="H89" i="38"/>
  <c r="H11" i="38" s="1"/>
  <c r="H69" i="38"/>
  <c r="H44" i="38"/>
  <c r="H41" i="38" s="1"/>
  <c r="H5" i="38" s="1"/>
  <c r="J93" i="38"/>
  <c r="I70" i="38"/>
  <c r="I45" i="38"/>
  <c r="H60" i="38"/>
  <c r="H34" i="38"/>
  <c r="G66" i="38"/>
  <c r="G9" i="38" s="1"/>
  <c r="G57" i="38"/>
  <c r="G59" i="38"/>
  <c r="J95" i="38"/>
  <c r="I72" i="38"/>
  <c r="I47" i="38"/>
  <c r="G54" i="38" l="1"/>
  <c r="G7" i="38" s="1"/>
  <c r="I58" i="38"/>
  <c r="I32" i="38"/>
  <c r="J94" i="38"/>
  <c r="I71" i="38"/>
  <c r="I46" i="38"/>
  <c r="J70" i="38"/>
  <c r="K93" i="38"/>
  <c r="J45" i="38"/>
  <c r="I69" i="38"/>
  <c r="I89" i="38"/>
  <c r="I11" i="38" s="1"/>
  <c r="J92" i="38"/>
  <c r="I44" i="38"/>
  <c r="K95" i="38"/>
  <c r="J72" i="38"/>
  <c r="J47" i="38"/>
  <c r="H66" i="38"/>
  <c r="H9" i="38" s="1"/>
  <c r="H57" i="38"/>
  <c r="H31" i="38"/>
  <c r="H59" i="38"/>
  <c r="H33" i="38"/>
  <c r="I60" i="38"/>
  <c r="I34" i="38"/>
  <c r="G28" i="38"/>
  <c r="G4" i="38" s="1"/>
  <c r="D9" i="10" s="1"/>
  <c r="I41" i="38" l="1"/>
  <c r="I5" i="38" s="1"/>
  <c r="I59" i="38"/>
  <c r="I33" i="38"/>
  <c r="K92" i="38"/>
  <c r="J89" i="38"/>
  <c r="J11" i="38" s="1"/>
  <c r="J69" i="38"/>
  <c r="J44" i="38"/>
  <c r="L93" i="38"/>
  <c r="K70" i="38"/>
  <c r="K45" i="38"/>
  <c r="K94" i="38"/>
  <c r="J71" i="38"/>
  <c r="J46" i="38"/>
  <c r="H28" i="38"/>
  <c r="H4" i="38" s="1"/>
  <c r="E9" i="10" s="1"/>
  <c r="J60" i="38"/>
  <c r="J34" i="38"/>
  <c r="J32" i="38"/>
  <c r="J58" i="38"/>
  <c r="H54" i="38"/>
  <c r="H7" i="38" s="1"/>
  <c r="L95" i="38"/>
  <c r="K72" i="38"/>
  <c r="K47" i="38"/>
  <c r="I66" i="38"/>
  <c r="I9" i="38" s="1"/>
  <c r="I57" i="38"/>
  <c r="I31" i="38"/>
  <c r="I28" i="38" l="1"/>
  <c r="I4" i="38" s="1"/>
  <c r="F9" i="10" s="1"/>
  <c r="I54" i="38"/>
  <c r="I7" i="38" s="1"/>
  <c r="K60" i="38"/>
  <c r="K34" i="38"/>
  <c r="M95" i="38"/>
  <c r="L72" i="38"/>
  <c r="L47" i="38"/>
  <c r="J59" i="38"/>
  <c r="J33" i="38"/>
  <c r="M93" i="38"/>
  <c r="L70" i="38"/>
  <c r="L45" i="38"/>
  <c r="L92" i="38"/>
  <c r="K89" i="38"/>
  <c r="K11" i="38" s="1"/>
  <c r="K69" i="38"/>
  <c r="K44" i="38"/>
  <c r="K41" i="38" s="1"/>
  <c r="K5" i="38" s="1"/>
  <c r="L94" i="38"/>
  <c r="K71" i="38"/>
  <c r="K46" i="38"/>
  <c r="J41" i="38"/>
  <c r="J5" i="38" s="1"/>
  <c r="K58" i="38"/>
  <c r="K32" i="38"/>
  <c r="J57" i="38"/>
  <c r="J66" i="38"/>
  <c r="J9" i="38" s="1"/>
  <c r="J31" i="38"/>
  <c r="J28" i="38" s="1"/>
  <c r="J4" i="38" s="1"/>
  <c r="G9" i="10" l="1"/>
  <c r="J54" i="38"/>
  <c r="J7" i="38" s="1"/>
  <c r="K59" i="38"/>
  <c r="K33" i="38"/>
  <c r="N93" i="38"/>
  <c r="M70" i="38"/>
  <c r="M45" i="38"/>
  <c r="L60" i="38"/>
  <c r="L34" i="38"/>
  <c r="M94" i="38"/>
  <c r="L71" i="38"/>
  <c r="L46" i="38"/>
  <c r="M92" i="38"/>
  <c r="L89" i="38"/>
  <c r="L11" i="38" s="1"/>
  <c r="L69" i="38"/>
  <c r="L44" i="38"/>
  <c r="L41" i="38" s="1"/>
  <c r="L5" i="38" s="1"/>
  <c r="N95" i="38"/>
  <c r="M72" i="38"/>
  <c r="M47" i="38"/>
  <c r="K66" i="38"/>
  <c r="K9" i="38" s="1"/>
  <c r="K57" i="38"/>
  <c r="K31" i="38"/>
  <c r="L58" i="38"/>
  <c r="L32" i="38"/>
  <c r="K28" i="38" l="1"/>
  <c r="K4" i="38" s="1"/>
  <c r="H9" i="10" s="1"/>
  <c r="M60" i="38"/>
  <c r="M34" i="38"/>
  <c r="N94" i="38"/>
  <c r="M71" i="38"/>
  <c r="M46" i="38"/>
  <c r="M58" i="38"/>
  <c r="M32" i="38"/>
  <c r="K54" i="38"/>
  <c r="K7" i="38" s="1"/>
  <c r="O95" i="38"/>
  <c r="N72" i="38"/>
  <c r="N47" i="38"/>
  <c r="M69" i="38"/>
  <c r="N92" i="38"/>
  <c r="M89" i="38"/>
  <c r="M11" i="38" s="1"/>
  <c r="M44" i="38"/>
  <c r="O93" i="38"/>
  <c r="N70" i="38"/>
  <c r="N45" i="38"/>
  <c r="L66" i="38"/>
  <c r="L9" i="38" s="1"/>
  <c r="L57" i="38"/>
  <c r="L31" i="38"/>
  <c r="L59" i="38"/>
  <c r="L33" i="38"/>
  <c r="L54" i="38" l="1"/>
  <c r="L7" i="38" s="1"/>
  <c r="M41" i="38"/>
  <c r="M5" i="38" s="1"/>
  <c r="M59" i="38"/>
  <c r="M33" i="38"/>
  <c r="O94" i="38"/>
  <c r="N71" i="38"/>
  <c r="N46" i="38"/>
  <c r="P93" i="38"/>
  <c r="O70" i="38"/>
  <c r="O45" i="38"/>
  <c r="M66" i="38"/>
  <c r="M9" i="38" s="1"/>
  <c r="M57" i="38"/>
  <c r="M54" i="38" s="1"/>
  <c r="M7" i="38" s="1"/>
  <c r="M31" i="38"/>
  <c r="N60" i="38"/>
  <c r="N34" i="38"/>
  <c r="L28" i="38"/>
  <c r="L4" i="38" s="1"/>
  <c r="I9" i="10" s="1"/>
  <c r="N58" i="38"/>
  <c r="N32" i="38"/>
  <c r="O92" i="38"/>
  <c r="N89" i="38"/>
  <c r="N11" i="38" s="1"/>
  <c r="N69" i="38"/>
  <c r="N44" i="38"/>
  <c r="P95" i="38"/>
  <c r="O72" i="38"/>
  <c r="O47" i="38"/>
  <c r="N41" i="38" l="1"/>
  <c r="N5" i="38" s="1"/>
  <c r="M28" i="38"/>
  <c r="M4" i="38" s="1"/>
  <c r="J9" i="10" s="1"/>
  <c r="N59" i="38"/>
  <c r="N33" i="38"/>
  <c r="N57" i="38"/>
  <c r="N66" i="38"/>
  <c r="N9" i="38" s="1"/>
  <c r="N31" i="38"/>
  <c r="O58" i="38"/>
  <c r="O32" i="38"/>
  <c r="P94" i="38"/>
  <c r="O71" i="38"/>
  <c r="O46" i="38"/>
  <c r="O60" i="38"/>
  <c r="O34" i="38"/>
  <c r="Q93" i="38"/>
  <c r="P70" i="38"/>
  <c r="P45" i="38"/>
  <c r="P72" i="38"/>
  <c r="Q95" i="38"/>
  <c r="P47" i="38"/>
  <c r="P92" i="38"/>
  <c r="O89" i="38"/>
  <c r="O11" i="38" s="1"/>
  <c r="O69" i="38"/>
  <c r="O44" i="38"/>
  <c r="N54" i="38" l="1"/>
  <c r="N7" i="38" s="1"/>
  <c r="O41" i="38"/>
  <c r="O5" i="38" s="1"/>
  <c r="N28" i="38"/>
  <c r="N4" i="38" s="1"/>
  <c r="K9" i="10" s="1"/>
  <c r="Q92" i="38"/>
  <c r="P89" i="38"/>
  <c r="P11" i="38" s="1"/>
  <c r="P69" i="38"/>
  <c r="P44" i="38"/>
  <c r="P58" i="38"/>
  <c r="P32" i="38"/>
  <c r="P60" i="38"/>
  <c r="P34" i="38"/>
  <c r="Q94" i="38"/>
  <c r="P71" i="38"/>
  <c r="P46" i="38"/>
  <c r="O66" i="38"/>
  <c r="O9" i="38" s="1"/>
  <c r="O57" i="38"/>
  <c r="O31" i="38"/>
  <c r="R95" i="38"/>
  <c r="Q72" i="38"/>
  <c r="Q47" i="38"/>
  <c r="R93" i="38"/>
  <c r="Q70" i="38"/>
  <c r="Q45" i="38"/>
  <c r="O59" i="38"/>
  <c r="O33" i="38"/>
  <c r="P41" i="38" l="1"/>
  <c r="P5" i="38" s="1"/>
  <c r="Q60" i="38"/>
  <c r="Q34" i="38"/>
  <c r="Q58" i="38"/>
  <c r="Q32" i="38"/>
  <c r="S95" i="38"/>
  <c r="R72" i="38"/>
  <c r="R47" i="38"/>
  <c r="P66" i="38"/>
  <c r="P9" i="38" s="1"/>
  <c r="P57" i="38"/>
  <c r="P31" i="38"/>
  <c r="R70" i="38"/>
  <c r="S93" i="38"/>
  <c r="R45" i="38"/>
  <c r="O28" i="38"/>
  <c r="O4" i="38" s="1"/>
  <c r="L9" i="10" s="1"/>
  <c r="P59" i="38"/>
  <c r="P33" i="38"/>
  <c r="O54" i="38"/>
  <c r="O7" i="38" s="1"/>
  <c r="R94" i="38"/>
  <c r="Q71" i="38"/>
  <c r="Q46" i="38"/>
  <c r="R92" i="38"/>
  <c r="Q89" i="38"/>
  <c r="Q11" i="38" s="1"/>
  <c r="Q69" i="38"/>
  <c r="Q44" i="38"/>
  <c r="Q66" i="38" l="1"/>
  <c r="Q9" i="38" s="1"/>
  <c r="Q57" i="38"/>
  <c r="Q31" i="38"/>
  <c r="Q59" i="38"/>
  <c r="Q33" i="38"/>
  <c r="R58" i="38"/>
  <c r="R32" i="38"/>
  <c r="S94" i="38"/>
  <c r="R71" i="38"/>
  <c r="R46" i="38"/>
  <c r="P28" i="38"/>
  <c r="P4" i="38" s="1"/>
  <c r="M9" i="10" s="1"/>
  <c r="R60" i="38"/>
  <c r="R34" i="38"/>
  <c r="Q41" i="38"/>
  <c r="Q5" i="38" s="1"/>
  <c r="T93" i="38"/>
  <c r="S70" i="38"/>
  <c r="S45" i="38"/>
  <c r="S92" i="38"/>
  <c r="R89" i="38"/>
  <c r="R11" i="38" s="1"/>
  <c r="R69" i="38"/>
  <c r="R44" i="38"/>
  <c r="P54" i="38"/>
  <c r="P7" i="38" s="1"/>
  <c r="T95" i="38"/>
  <c r="S72" i="38"/>
  <c r="S47" i="38"/>
  <c r="R41" i="38" l="1"/>
  <c r="R5" i="38" s="1"/>
  <c r="R66" i="38"/>
  <c r="R9" i="38" s="1"/>
  <c r="R57" i="38"/>
  <c r="R31" i="38"/>
  <c r="T72" i="38"/>
  <c r="U95" i="38"/>
  <c r="T47" i="38"/>
  <c r="U93" i="38"/>
  <c r="T70" i="38"/>
  <c r="T45" i="38"/>
  <c r="Q28" i="38"/>
  <c r="Q4" i="38" s="1"/>
  <c r="N9" i="10" s="1"/>
  <c r="S60" i="38"/>
  <c r="S34" i="38"/>
  <c r="T92" i="38"/>
  <c r="S89" i="38"/>
  <c r="S11" i="38" s="1"/>
  <c r="S69" i="38"/>
  <c r="S44" i="38"/>
  <c r="Q54" i="38"/>
  <c r="Q7" i="38" s="1"/>
  <c r="S58" i="38"/>
  <c r="S32" i="38"/>
  <c r="S71" i="38"/>
  <c r="T94" i="38"/>
  <c r="S46" i="38"/>
  <c r="R59" i="38"/>
  <c r="R33" i="38"/>
  <c r="S41" i="38" l="1"/>
  <c r="S5" i="38" s="1"/>
  <c r="T58" i="38"/>
  <c r="T32" i="38"/>
  <c r="T60" i="38"/>
  <c r="T34" i="38"/>
  <c r="S66" i="38"/>
  <c r="S9" i="38" s="1"/>
  <c r="S57" i="38"/>
  <c r="S31" i="38"/>
  <c r="V93" i="38"/>
  <c r="U70" i="38"/>
  <c r="U45" i="38"/>
  <c r="R28" i="38"/>
  <c r="R4" i="38" s="1"/>
  <c r="O9" i="10" s="1"/>
  <c r="S59" i="38"/>
  <c r="S33" i="38"/>
  <c r="R54" i="38"/>
  <c r="R7" i="38" s="1"/>
  <c r="U94" i="38"/>
  <c r="T71" i="38"/>
  <c r="T46" i="38"/>
  <c r="U92" i="38"/>
  <c r="T89" i="38"/>
  <c r="T11" i="38" s="1"/>
  <c r="T69" i="38"/>
  <c r="T44" i="38"/>
  <c r="V95" i="38"/>
  <c r="U72" i="38"/>
  <c r="U47" i="38"/>
  <c r="T41" i="38" l="1"/>
  <c r="T5" i="38" s="1"/>
  <c r="T59" i="38"/>
  <c r="T33" i="38"/>
  <c r="U60" i="38"/>
  <c r="U34" i="38"/>
  <c r="V94" i="38"/>
  <c r="U71" i="38"/>
  <c r="U46" i="38"/>
  <c r="S28" i="38"/>
  <c r="S4" i="38" s="1"/>
  <c r="P9" i="10" s="1"/>
  <c r="W95" i="38"/>
  <c r="V72" i="38"/>
  <c r="V47" i="38"/>
  <c r="U69" i="38"/>
  <c r="V92" i="38"/>
  <c r="U89" i="38"/>
  <c r="U11" i="38" s="1"/>
  <c r="U44" i="38"/>
  <c r="U41" i="38" s="1"/>
  <c r="U5" i="38" s="1"/>
  <c r="S54" i="38"/>
  <c r="S7" i="38" s="1"/>
  <c r="T66" i="38"/>
  <c r="T9" i="38" s="1"/>
  <c r="T57" i="38"/>
  <c r="T54" i="38" s="1"/>
  <c r="T7" i="38" s="1"/>
  <c r="T31" i="38"/>
  <c r="V70" i="38"/>
  <c r="W93" i="38"/>
  <c r="V45" i="38"/>
  <c r="U58" i="38"/>
  <c r="U32" i="38"/>
  <c r="T28" i="38" l="1"/>
  <c r="T4" i="38" s="1"/>
  <c r="Q9" i="10" s="1"/>
  <c r="V58" i="38"/>
  <c r="V32" i="38"/>
  <c r="V60" i="38"/>
  <c r="V34" i="38"/>
  <c r="U59" i="38"/>
  <c r="U33" i="38"/>
  <c r="U66" i="38"/>
  <c r="U9" i="38" s="1"/>
  <c r="U57" i="38"/>
  <c r="U31" i="38"/>
  <c r="X93" i="38"/>
  <c r="W70" i="38"/>
  <c r="W45" i="38"/>
  <c r="W92" i="38"/>
  <c r="V89" i="38"/>
  <c r="V11" i="38" s="1"/>
  <c r="V69" i="38"/>
  <c r="V44" i="38"/>
  <c r="X95" i="38"/>
  <c r="W72" i="38"/>
  <c r="W47" i="38"/>
  <c r="W94" i="38"/>
  <c r="V71" i="38"/>
  <c r="V46" i="38"/>
  <c r="V41" i="38" l="1"/>
  <c r="V5" i="38" s="1"/>
  <c r="U54" i="38"/>
  <c r="U7" i="38" s="1"/>
  <c r="X94" i="38"/>
  <c r="W71" i="38"/>
  <c r="W46" i="38"/>
  <c r="V66" i="38"/>
  <c r="V9" i="38" s="1"/>
  <c r="V57" i="38"/>
  <c r="V31" i="38"/>
  <c r="W58" i="38"/>
  <c r="W32" i="38"/>
  <c r="W60" i="38"/>
  <c r="W34" i="38"/>
  <c r="Y93" i="38"/>
  <c r="X70" i="38"/>
  <c r="X45" i="38"/>
  <c r="V59" i="38"/>
  <c r="V33" i="38"/>
  <c r="Y95" i="38"/>
  <c r="X72" i="38"/>
  <c r="X47" i="38"/>
  <c r="X92" i="38"/>
  <c r="W89" i="38"/>
  <c r="W11" i="38" s="1"/>
  <c r="W69" i="38"/>
  <c r="W44" i="38"/>
  <c r="U28" i="38"/>
  <c r="U4" i="38" s="1"/>
  <c r="R9" i="10" s="1"/>
  <c r="W41" i="38" l="1"/>
  <c r="W5" i="38" s="1"/>
  <c r="Y92" i="38"/>
  <c r="X89" i="38"/>
  <c r="X11" i="38" s="1"/>
  <c r="X69" i="38"/>
  <c r="X44" i="38"/>
  <c r="Z93" i="38"/>
  <c r="Y70" i="38"/>
  <c r="Y45" i="38"/>
  <c r="X58" i="38"/>
  <c r="X32" i="38"/>
  <c r="V28" i="38"/>
  <c r="V4" i="38" s="1"/>
  <c r="S9" i="10" s="1"/>
  <c r="W59" i="38"/>
  <c r="W33" i="38"/>
  <c r="Z95" i="38"/>
  <c r="Y72" i="38"/>
  <c r="Y47" i="38"/>
  <c r="W66" i="38"/>
  <c r="W9" i="38" s="1"/>
  <c r="W57" i="38"/>
  <c r="W31" i="38"/>
  <c r="X60" i="38"/>
  <c r="X34" i="38"/>
  <c r="V54" i="38"/>
  <c r="V7" i="38" s="1"/>
  <c r="Y94" i="38"/>
  <c r="X71" i="38"/>
  <c r="X46" i="38"/>
  <c r="X41" i="38" l="1"/>
  <c r="X5" i="38" s="1"/>
  <c r="X59" i="38"/>
  <c r="X33" i="38"/>
  <c r="X66" i="38"/>
  <c r="X9" i="38" s="1"/>
  <c r="X57" i="38"/>
  <c r="X31" i="38"/>
  <c r="W28" i="38"/>
  <c r="W4" i="38" s="1"/>
  <c r="T9" i="10" s="1"/>
  <c r="Y60" i="38"/>
  <c r="Y34" i="38"/>
  <c r="Y58" i="38"/>
  <c r="Y32" i="38"/>
  <c r="Z94" i="38"/>
  <c r="Y71" i="38"/>
  <c r="Y46" i="38"/>
  <c r="W54" i="38"/>
  <c r="W7" i="38" s="1"/>
  <c r="AA95" i="38"/>
  <c r="Z72" i="38"/>
  <c r="Z47" i="38"/>
  <c r="AA93" i="38"/>
  <c r="Z70" i="38"/>
  <c r="Z45" i="38"/>
  <c r="Y69" i="38"/>
  <c r="Z92" i="38"/>
  <c r="Y89" i="38"/>
  <c r="Y11" i="38" s="1"/>
  <c r="Y44" i="38"/>
  <c r="X28" i="38" l="1"/>
  <c r="X4" i="38" s="1"/>
  <c r="U9" i="10" s="1"/>
  <c r="AA92" i="38"/>
  <c r="Z89" i="38"/>
  <c r="Z11" i="38" s="1"/>
  <c r="Z69" i="38"/>
  <c r="Z44" i="38"/>
  <c r="AB93" i="38"/>
  <c r="AA70" i="38"/>
  <c r="AA45" i="38"/>
  <c r="AB95" i="38"/>
  <c r="AA72" i="38"/>
  <c r="AA47" i="38"/>
  <c r="Y57" i="38"/>
  <c r="Y66" i="38"/>
  <c r="Y9" i="38" s="1"/>
  <c r="Y31" i="38"/>
  <c r="Z58" i="38"/>
  <c r="Z32" i="38"/>
  <c r="AA94" i="38"/>
  <c r="Z71" i="38"/>
  <c r="Z46" i="38"/>
  <c r="Y41" i="38"/>
  <c r="Y5" i="38" s="1"/>
  <c r="Z60" i="38"/>
  <c r="Z34" i="38"/>
  <c r="Y59" i="38"/>
  <c r="Y33" i="38"/>
  <c r="X54" i="38"/>
  <c r="X7" i="38" s="1"/>
  <c r="Z41" i="38" l="1"/>
  <c r="Z5" i="38" s="1"/>
  <c r="AC95" i="38"/>
  <c r="AB72" i="38"/>
  <c r="AB47" i="38"/>
  <c r="Y54" i="38"/>
  <c r="Y7" i="38" s="1"/>
  <c r="Z57" i="38"/>
  <c r="Z66" i="38"/>
  <c r="Z9" i="38" s="1"/>
  <c r="Z31" i="38"/>
  <c r="AA58" i="38"/>
  <c r="AA32" i="38"/>
  <c r="AB94" i="38"/>
  <c r="AA71" i="38"/>
  <c r="AA46" i="38"/>
  <c r="Z59" i="38"/>
  <c r="Z33" i="38"/>
  <c r="Y28" i="38"/>
  <c r="Y4" i="38" s="1"/>
  <c r="V9" i="10" s="1"/>
  <c r="AA60" i="38"/>
  <c r="AA34" i="38"/>
  <c r="AC93" i="38"/>
  <c r="AB70" i="38"/>
  <c r="AB45" i="38"/>
  <c r="AB92" i="38"/>
  <c r="AA89" i="38"/>
  <c r="AA11" i="38" s="1"/>
  <c r="AA69" i="38"/>
  <c r="AA44" i="38"/>
  <c r="AA41" i="38" s="1"/>
  <c r="AA5" i="38" s="1"/>
  <c r="AA66" i="38" l="1"/>
  <c r="AA9" i="38" s="1"/>
  <c r="AA57" i="38"/>
  <c r="AA31" i="38"/>
  <c r="AB58" i="38"/>
  <c r="AB32" i="38"/>
  <c r="AA59" i="38"/>
  <c r="AA33" i="38"/>
  <c r="Z28" i="38"/>
  <c r="Z4" i="38" s="1"/>
  <c r="W9" i="10" s="1"/>
  <c r="AD93" i="38"/>
  <c r="AC70" i="38"/>
  <c r="AC45" i="38"/>
  <c r="AC94" i="38"/>
  <c r="AB71" i="38"/>
  <c r="AB46" i="38"/>
  <c r="AB60" i="38"/>
  <c r="AB34" i="38"/>
  <c r="AC92" i="38"/>
  <c r="AB89" i="38"/>
  <c r="AB11" i="38" s="1"/>
  <c r="AB69" i="38"/>
  <c r="AB44" i="38"/>
  <c r="AB41" i="38" s="1"/>
  <c r="AB5" i="38" s="1"/>
  <c r="Z54" i="38"/>
  <c r="Z7" i="38" s="1"/>
  <c r="AD95" i="38"/>
  <c r="AC72" i="38"/>
  <c r="AC47" i="38"/>
  <c r="AC60" i="38" l="1"/>
  <c r="AC34" i="38"/>
  <c r="AB66" i="38"/>
  <c r="AB9" i="38" s="1"/>
  <c r="AB57" i="38"/>
  <c r="AB31" i="38"/>
  <c r="AA28" i="38"/>
  <c r="AA4" i="38" s="1"/>
  <c r="X9" i="10" s="1"/>
  <c r="AE95" i="38"/>
  <c r="AD72" i="38"/>
  <c r="AD47" i="38"/>
  <c r="AC58" i="38"/>
  <c r="AC32" i="38"/>
  <c r="AA54" i="38"/>
  <c r="AA7" i="38" s="1"/>
  <c r="AD94" i="38"/>
  <c r="AC71" i="38"/>
  <c r="AC46" i="38"/>
  <c r="AC69" i="38"/>
  <c r="AD92" i="38"/>
  <c r="AC89" i="38"/>
  <c r="AC11" i="38" s="1"/>
  <c r="AC44" i="38"/>
  <c r="AB59" i="38"/>
  <c r="AB33" i="38"/>
  <c r="AE93" i="38"/>
  <c r="AD70" i="38"/>
  <c r="AD45" i="38"/>
  <c r="AC41" i="38" l="1"/>
  <c r="AC5" i="38" s="1"/>
  <c r="AC66" i="38"/>
  <c r="AC9" i="38" s="1"/>
  <c r="AC57" i="38"/>
  <c r="AC31" i="38"/>
  <c r="AD60" i="38"/>
  <c r="AD34" i="38"/>
  <c r="AD58" i="38"/>
  <c r="AD32" i="38"/>
  <c r="AF95" i="38"/>
  <c r="AE72" i="38"/>
  <c r="AE47" i="38"/>
  <c r="AF93" i="38"/>
  <c r="AE70" i="38"/>
  <c r="AE45" i="38"/>
  <c r="AC59" i="38"/>
  <c r="AC33" i="38"/>
  <c r="AB54" i="38"/>
  <c r="AB7" i="38" s="1"/>
  <c r="AE92" i="38"/>
  <c r="AD89" i="38"/>
  <c r="AD11" i="38" s="1"/>
  <c r="AD69" i="38"/>
  <c r="AD44" i="38"/>
  <c r="AE94" i="38"/>
  <c r="AD71" i="38"/>
  <c r="AD46" i="38"/>
  <c r="AB28" i="38"/>
  <c r="AB4" i="38" s="1"/>
  <c r="Y9" i="10" s="1"/>
  <c r="AD41" i="38" l="1"/>
  <c r="AD5" i="38" s="1"/>
  <c r="AE58" i="38"/>
  <c r="AE32" i="38"/>
  <c r="AD66" i="38"/>
  <c r="AD9" i="38" s="1"/>
  <c r="AD57" i="38"/>
  <c r="AD31" i="38"/>
  <c r="AG93" i="38"/>
  <c r="AF70" i="38"/>
  <c r="AF45" i="38"/>
  <c r="AC28" i="38"/>
  <c r="AC4" i="38" s="1"/>
  <c r="Z9" i="10" s="1"/>
  <c r="AD59" i="38"/>
  <c r="AD33" i="38"/>
  <c r="AC54" i="38"/>
  <c r="AC7" i="38" s="1"/>
  <c r="AF72" i="38"/>
  <c r="AG95" i="38"/>
  <c r="AF47" i="38"/>
  <c r="AF94" i="38"/>
  <c r="AE71" i="38"/>
  <c r="AE46" i="38"/>
  <c r="AF92" i="38"/>
  <c r="AE89" i="38"/>
  <c r="AE11" i="38" s="1"/>
  <c r="AE69" i="38"/>
  <c r="AE44" i="38"/>
  <c r="AE41" i="38" s="1"/>
  <c r="AE5" i="38" s="1"/>
  <c r="AE60" i="38"/>
  <c r="AE34" i="38"/>
  <c r="AD54" i="38" l="1"/>
  <c r="AD7" i="38" s="1"/>
  <c r="AG94" i="38"/>
  <c r="AF71" i="38"/>
  <c r="AF46" i="38"/>
  <c r="AG92" i="38"/>
  <c r="AF89" i="38"/>
  <c r="AF11" i="38" s="1"/>
  <c r="AF69" i="38"/>
  <c r="AF44" i="38"/>
  <c r="AF41" i="38" s="1"/>
  <c r="AF5" i="38" s="1"/>
  <c r="AF58" i="38"/>
  <c r="AF32" i="38"/>
  <c r="AH95" i="38"/>
  <c r="AG72" i="38"/>
  <c r="AG47" i="38"/>
  <c r="AH93" i="38"/>
  <c r="AG70" i="38"/>
  <c r="AG45" i="38"/>
  <c r="AE66" i="38"/>
  <c r="AE9" i="38" s="1"/>
  <c r="AE57" i="38"/>
  <c r="AE31" i="38"/>
  <c r="AE59" i="38"/>
  <c r="AE33" i="38"/>
  <c r="AF34" i="38"/>
  <c r="AF60" i="38"/>
  <c r="AD28" i="38"/>
  <c r="AD4" i="38" s="1"/>
  <c r="AA9" i="10" s="1"/>
  <c r="AE54" i="38" l="1"/>
  <c r="AE7" i="38" s="1"/>
  <c r="AH92" i="38"/>
  <c r="AG89" i="38"/>
  <c r="AG11" i="38" s="1"/>
  <c r="AG69" i="38"/>
  <c r="AG44" i="38"/>
  <c r="AG60" i="38"/>
  <c r="AG34" i="38"/>
  <c r="AE28" i="38"/>
  <c r="AE4" i="38" s="1"/>
  <c r="AB9" i="10" s="1"/>
  <c r="AG58" i="38"/>
  <c r="AG32" i="38"/>
  <c r="AI95" i="38"/>
  <c r="AH72" i="38"/>
  <c r="AH47" i="38"/>
  <c r="AF66" i="38"/>
  <c r="AF9" i="38" s="1"/>
  <c r="AF57" i="38"/>
  <c r="AF31" i="38"/>
  <c r="AF59" i="38"/>
  <c r="AF33" i="38"/>
  <c r="AH70" i="38"/>
  <c r="AI93" i="38"/>
  <c r="AH45" i="38"/>
  <c r="AH94" i="38"/>
  <c r="AG71" i="38"/>
  <c r="AG46" i="38"/>
  <c r="AG41" i="38" l="1"/>
  <c r="AG5" i="38" s="1"/>
  <c r="AJ93" i="38"/>
  <c r="AI70" i="38"/>
  <c r="AI45" i="38"/>
  <c r="AF28" i="38"/>
  <c r="AF4" i="38" s="1"/>
  <c r="AC9" i="10" s="1"/>
  <c r="AH60" i="38"/>
  <c r="AH34" i="38"/>
  <c r="AG66" i="38"/>
  <c r="AG9" i="38" s="1"/>
  <c r="AG57" i="38"/>
  <c r="AG31" i="38"/>
  <c r="AG59" i="38"/>
  <c r="AG33" i="38"/>
  <c r="AH58" i="38"/>
  <c r="AH32" i="38"/>
  <c r="AF54" i="38"/>
  <c r="AF7" i="38" s="1"/>
  <c r="AJ95" i="38"/>
  <c r="AI72" i="38"/>
  <c r="AI47" i="38"/>
  <c r="AI94" i="38"/>
  <c r="AH71" i="38"/>
  <c r="AH46" i="38"/>
  <c r="AI92" i="38"/>
  <c r="AH89" i="38"/>
  <c r="AH11" i="38" s="1"/>
  <c r="AH69" i="38"/>
  <c r="AH44" i="38"/>
  <c r="AH41" i="38" s="1"/>
  <c r="AH5" i="38" s="1"/>
  <c r="AG54" i="38" l="1"/>
  <c r="AG7" i="38" s="1"/>
  <c r="AI60" i="38"/>
  <c r="AI34" i="38"/>
  <c r="AH57" i="38"/>
  <c r="AH54" i="38" s="1"/>
  <c r="AH7" i="38" s="1"/>
  <c r="AH66" i="38"/>
  <c r="AH9" i="38" s="1"/>
  <c r="AH31" i="38"/>
  <c r="AH59" i="38"/>
  <c r="AH33" i="38"/>
  <c r="AJ72" i="38"/>
  <c r="AK95" i="38"/>
  <c r="AJ47" i="38"/>
  <c r="AJ94" i="38"/>
  <c r="AI71" i="38"/>
  <c r="AI46" i="38"/>
  <c r="AI58" i="38"/>
  <c r="AI32" i="38"/>
  <c r="AJ92" i="38"/>
  <c r="AI89" i="38"/>
  <c r="AI11" i="38" s="1"/>
  <c r="AI69" i="38"/>
  <c r="AI44" i="38"/>
  <c r="AI41" i="38" s="1"/>
  <c r="AI5" i="38" s="1"/>
  <c r="AG28" i="38"/>
  <c r="AG4" i="38" s="1"/>
  <c r="AD9" i="10" s="1"/>
  <c r="AK93" i="38"/>
  <c r="AJ70" i="38"/>
  <c r="AJ45" i="38"/>
  <c r="AK94" i="38" l="1"/>
  <c r="AJ71" i="38"/>
  <c r="AJ46" i="38"/>
  <c r="AK92" i="38"/>
  <c r="AJ89" i="38"/>
  <c r="AJ11" i="38" s="1"/>
  <c r="AJ69" i="38"/>
  <c r="AJ44" i="38"/>
  <c r="AJ41" i="38" s="1"/>
  <c r="AJ5" i="38" s="1"/>
  <c r="AJ60" i="38"/>
  <c r="AJ34" i="38"/>
  <c r="AJ58" i="38"/>
  <c r="AJ32" i="38"/>
  <c r="AI66" i="38"/>
  <c r="AI9" i="38" s="1"/>
  <c r="AI57" i="38"/>
  <c r="AI31" i="38"/>
  <c r="AI59" i="38"/>
  <c r="AI33" i="38"/>
  <c r="AL93" i="38"/>
  <c r="AK70" i="38"/>
  <c r="AK45" i="38"/>
  <c r="AL95" i="38"/>
  <c r="AK72" i="38"/>
  <c r="AK47" i="38"/>
  <c r="AH28" i="38"/>
  <c r="AH4" i="38" s="1"/>
  <c r="AE9" i="10" s="1"/>
  <c r="AI54" i="38" l="1"/>
  <c r="AI7" i="38" s="1"/>
  <c r="AK69" i="38"/>
  <c r="AL92" i="38"/>
  <c r="AK89" i="38"/>
  <c r="AK11" i="38" s="1"/>
  <c r="AK44" i="38"/>
  <c r="AM95" i="38"/>
  <c r="AL72" i="38"/>
  <c r="AL47" i="38"/>
  <c r="AK58" i="38"/>
  <c r="AK32" i="38"/>
  <c r="AI28" i="38"/>
  <c r="AI4" i="38" s="1"/>
  <c r="AF9" i="10" s="1"/>
  <c r="AJ66" i="38"/>
  <c r="AJ9" i="38" s="1"/>
  <c r="AJ57" i="38"/>
  <c r="AJ31" i="38"/>
  <c r="AJ59" i="38"/>
  <c r="AJ33" i="38"/>
  <c r="AK60" i="38"/>
  <c r="AK34" i="38"/>
  <c r="AL70" i="38"/>
  <c r="AM93" i="38"/>
  <c r="AL45" i="38"/>
  <c r="AL94" i="38"/>
  <c r="AK71" i="38"/>
  <c r="AK46" i="38"/>
  <c r="AJ54" i="38" l="1"/>
  <c r="AJ7" i="38" s="1"/>
  <c r="AK41" i="38"/>
  <c r="AK5" i="38" s="1"/>
  <c r="AN93" i="38"/>
  <c r="AM70" i="38"/>
  <c r="AM45" i="38"/>
  <c r="AK59" i="38"/>
  <c r="AK33" i="38"/>
  <c r="AL58" i="38"/>
  <c r="AL32" i="38"/>
  <c r="AL60" i="38"/>
  <c r="AL34" i="38"/>
  <c r="AM92" i="38"/>
  <c r="AL89" i="38"/>
  <c r="AL11" i="38" s="1"/>
  <c r="AL69" i="38"/>
  <c r="AL44" i="38"/>
  <c r="AM94" i="38"/>
  <c r="AL71" i="38"/>
  <c r="AL46" i="38"/>
  <c r="AJ28" i="38"/>
  <c r="AJ4" i="38" s="1"/>
  <c r="AG9" i="10" s="1"/>
  <c r="AN95" i="38"/>
  <c r="AM72" i="38"/>
  <c r="AM47" i="38"/>
  <c r="AK66" i="38"/>
  <c r="AK9" i="38" s="1"/>
  <c r="AK57" i="38"/>
  <c r="AK31" i="38"/>
  <c r="AK28" i="38" l="1"/>
  <c r="AK4" i="38" s="1"/>
  <c r="AH9" i="10" s="1"/>
  <c r="AM60" i="38"/>
  <c r="AM34" i="38"/>
  <c r="AL59" i="38"/>
  <c r="AL33" i="38"/>
  <c r="AL66" i="38"/>
  <c r="AL9" i="38" s="1"/>
  <c r="AL57" i="38"/>
  <c r="AL31" i="38"/>
  <c r="AK54" i="38"/>
  <c r="AK7" i="38" s="1"/>
  <c r="AO95" i="38"/>
  <c r="AN72" i="38"/>
  <c r="AN47" i="38"/>
  <c r="AN94" i="38"/>
  <c r="AM71" i="38"/>
  <c r="AM46" i="38"/>
  <c r="AN92" i="38"/>
  <c r="AM89" i="38"/>
  <c r="AM11" i="38" s="1"/>
  <c r="AM69" i="38"/>
  <c r="AM44" i="38"/>
  <c r="AM41" i="38" s="1"/>
  <c r="AM5" i="38" s="1"/>
  <c r="AM58" i="38"/>
  <c r="AM32" i="38"/>
  <c r="AL41" i="38"/>
  <c r="AL5" i="38" s="1"/>
  <c r="AO93" i="38"/>
  <c r="AN70" i="38"/>
  <c r="AN45" i="38"/>
  <c r="AL54" i="38" l="1"/>
  <c r="AL7" i="38" s="1"/>
  <c r="AN58" i="38"/>
  <c r="AN32" i="38"/>
  <c r="AO92" i="38"/>
  <c r="AN89" i="38"/>
  <c r="AN11" i="38" s="1"/>
  <c r="AN69" i="38"/>
  <c r="AN44" i="38"/>
  <c r="AL28" i="38"/>
  <c r="AL4" i="38" s="1"/>
  <c r="AI9" i="10" s="1"/>
  <c r="AO94" i="38"/>
  <c r="AN71" i="38"/>
  <c r="AN46" i="38"/>
  <c r="AP93" i="38"/>
  <c r="AO70" i="38"/>
  <c r="AO45" i="38"/>
  <c r="AN60" i="38"/>
  <c r="AN34" i="38"/>
  <c r="AM66" i="38"/>
  <c r="AM9" i="38" s="1"/>
  <c r="AM57" i="38"/>
  <c r="AM31" i="38"/>
  <c r="AM59" i="38"/>
  <c r="AM33" i="38"/>
  <c r="AP95" i="38"/>
  <c r="AO72" i="38"/>
  <c r="AO47" i="38"/>
  <c r="AQ93" i="38" l="1"/>
  <c r="AP70" i="38"/>
  <c r="AP45" i="38"/>
  <c r="AO69" i="38"/>
  <c r="AO89" i="38"/>
  <c r="AO11" i="38" s="1"/>
  <c r="AP92" i="38"/>
  <c r="AO44" i="38"/>
  <c r="AO58" i="38"/>
  <c r="AO32" i="38"/>
  <c r="AO60" i="38"/>
  <c r="AO34" i="38"/>
  <c r="AM28" i="38"/>
  <c r="AM4" i="38" s="1"/>
  <c r="AJ9" i="10" s="1"/>
  <c r="AN41" i="38"/>
  <c r="AN5" i="38" s="1"/>
  <c r="AP94" i="38"/>
  <c r="AO71" i="38"/>
  <c r="AO46" i="38"/>
  <c r="AQ95" i="38"/>
  <c r="AP72" i="38"/>
  <c r="AP47" i="38"/>
  <c r="AM54" i="38"/>
  <c r="AM7" i="38" s="1"/>
  <c r="AN59" i="38"/>
  <c r="AN33" i="38"/>
  <c r="AN66" i="38"/>
  <c r="AN9" i="38" s="1"/>
  <c r="AN57" i="38"/>
  <c r="AN31" i="38"/>
  <c r="AN28" i="38" l="1"/>
  <c r="AN4" i="38" s="1"/>
  <c r="AK9" i="10" s="1"/>
  <c r="AN54" i="38"/>
  <c r="AN7" i="38" s="1"/>
  <c r="AO66" i="38"/>
  <c r="AO9" i="38" s="1"/>
  <c r="AO57" i="38"/>
  <c r="AO31" i="38"/>
  <c r="AO59" i="38"/>
  <c r="AO33" i="38"/>
  <c r="AO41" i="38"/>
  <c r="AO5" i="38" s="1"/>
  <c r="AP60" i="38"/>
  <c r="AP34" i="38"/>
  <c r="AQ94" i="38"/>
  <c r="AP71" i="38"/>
  <c r="AP46" i="38"/>
  <c r="AQ92" i="38"/>
  <c r="AP89" i="38"/>
  <c r="AP11" i="38" s="1"/>
  <c r="AP69" i="38"/>
  <c r="AP44" i="38"/>
  <c r="AP41" i="38" s="1"/>
  <c r="AP5" i="38" s="1"/>
  <c r="AP32" i="38"/>
  <c r="AP58" i="38"/>
  <c r="AR95" i="38"/>
  <c r="AQ72" i="38"/>
  <c r="AQ47" i="38"/>
  <c r="AR93" i="38"/>
  <c r="AQ70" i="38"/>
  <c r="AQ45" i="38"/>
  <c r="AQ60" i="38" l="1"/>
  <c r="AQ34" i="38"/>
  <c r="AO28" i="38"/>
  <c r="AO4" i="38" s="1"/>
  <c r="AL9" i="10" s="1"/>
  <c r="AR92" i="38"/>
  <c r="AQ89" i="38"/>
  <c r="AQ11" i="38" s="1"/>
  <c r="AQ69" i="38"/>
  <c r="AQ44" i="38"/>
  <c r="AQ58" i="38"/>
  <c r="AQ32" i="38"/>
  <c r="AS95" i="38"/>
  <c r="AR72" i="38"/>
  <c r="AR47" i="38"/>
  <c r="AP57" i="38"/>
  <c r="AP66" i="38"/>
  <c r="AP9" i="38" s="1"/>
  <c r="AP31" i="38"/>
  <c r="AP59" i="38"/>
  <c r="AP33" i="38"/>
  <c r="AO54" i="38"/>
  <c r="AO7" i="38" s="1"/>
  <c r="AS93" i="38"/>
  <c r="AR70" i="38"/>
  <c r="AR45" i="38"/>
  <c r="AR94" i="38"/>
  <c r="AQ71" i="38"/>
  <c r="AQ46" i="38"/>
  <c r="AS92" i="38" l="1"/>
  <c r="AR89" i="38"/>
  <c r="AR11" i="38" s="1"/>
  <c r="AR69" i="38"/>
  <c r="AR44" i="38"/>
  <c r="AQ59" i="38"/>
  <c r="AQ33" i="38"/>
  <c r="AT93" i="38"/>
  <c r="AS70" i="38"/>
  <c r="AS45" i="38"/>
  <c r="AP28" i="38"/>
  <c r="AP4" i="38" s="1"/>
  <c r="AM9" i="10" s="1"/>
  <c r="AR60" i="38"/>
  <c r="AR34" i="38"/>
  <c r="AQ41" i="38"/>
  <c r="AQ5" i="38" s="1"/>
  <c r="AT95" i="38"/>
  <c r="AS72" i="38"/>
  <c r="AS47" i="38"/>
  <c r="AQ66" i="38"/>
  <c r="AQ9" i="38" s="1"/>
  <c r="AQ57" i="38"/>
  <c r="AQ54" i="38" s="1"/>
  <c r="AQ7" i="38" s="1"/>
  <c r="AQ31" i="38"/>
  <c r="AR58" i="38"/>
  <c r="AR32" i="38"/>
  <c r="AS94" i="38"/>
  <c r="AR71" i="38"/>
  <c r="AR46" i="38"/>
  <c r="AP54" i="38"/>
  <c r="AP7" i="38" s="1"/>
  <c r="AS58" i="38" l="1"/>
  <c r="AS32" i="38"/>
  <c r="AR41" i="38"/>
  <c r="AR5" i="38" s="1"/>
  <c r="AR59" i="38"/>
  <c r="AR33" i="38"/>
  <c r="AQ28" i="38"/>
  <c r="AQ4" i="38" s="1"/>
  <c r="AN9" i="10" s="1"/>
  <c r="AS60" i="38"/>
  <c r="AS34" i="38"/>
  <c r="AT70" i="38"/>
  <c r="AT45" i="38"/>
  <c r="AR66" i="38"/>
  <c r="AR9" i="38" s="1"/>
  <c r="AR57" i="38"/>
  <c r="AR54" i="38" s="1"/>
  <c r="AR7" i="38" s="1"/>
  <c r="AR31" i="38"/>
  <c r="AR28" i="38" s="1"/>
  <c r="AR4" i="38" s="1"/>
  <c r="AT72" i="38"/>
  <c r="AT47" i="38"/>
  <c r="AT94" i="38"/>
  <c r="AS71" i="38"/>
  <c r="AS46" i="38"/>
  <c r="AS69" i="38"/>
  <c r="AT92" i="38"/>
  <c r="AS89" i="38"/>
  <c r="AS11" i="38" s="1"/>
  <c r="AS44" i="38"/>
  <c r="AS41" i="38" s="1"/>
  <c r="AS5" i="38" s="1"/>
  <c r="AO9" i="10" l="1"/>
  <c r="AT71" i="38"/>
  <c r="AT46" i="38"/>
  <c r="AS66" i="38"/>
  <c r="AS9" i="38" s="1"/>
  <c r="AS57" i="38"/>
  <c r="AS31" i="38"/>
  <c r="AT60" i="38"/>
  <c r="AT34" i="38"/>
  <c r="AT89" i="38"/>
  <c r="AT11" i="38" s="1"/>
  <c r="AT69" i="38"/>
  <c r="AT44" i="38"/>
  <c r="AT41" i="38" s="1"/>
  <c r="AT5" i="38" s="1"/>
  <c r="AS59" i="38"/>
  <c r="AS33" i="38"/>
  <c r="AT58" i="38"/>
  <c r="AT32" i="38"/>
  <c r="AS54" i="38" l="1"/>
  <c r="AS7" i="38" s="1"/>
  <c r="AT57" i="38"/>
  <c r="AT66" i="38"/>
  <c r="AT9" i="38" s="1"/>
  <c r="AT31" i="38"/>
  <c r="AS28" i="38"/>
  <c r="AS4" i="38" s="1"/>
  <c r="AP9" i="10" s="1"/>
  <c r="AT59" i="38"/>
  <c r="AT33" i="38"/>
  <c r="AT28" i="38" l="1"/>
  <c r="AT4" i="38" s="1"/>
  <c r="AQ9" i="10" s="1"/>
  <c r="AT54" i="38"/>
  <c r="AT7" i="38" s="1"/>
  <c r="AJ51" i="6" l="1"/>
  <c r="AJ52" i="6" s="1"/>
  <c r="AN51" i="6"/>
  <c r="AN52" i="6" s="1"/>
  <c r="AG55" i="6"/>
  <c r="AH55" i="6"/>
  <c r="AI55" i="6"/>
  <c r="AJ55" i="6"/>
  <c r="AK55" i="6"/>
  <c r="AL55" i="6"/>
  <c r="AM55" i="6"/>
  <c r="AN55" i="6"/>
  <c r="AO55" i="6"/>
  <c r="AP55" i="6"/>
  <c r="AQ55" i="6"/>
  <c r="AG39" i="6"/>
  <c r="AH39" i="6"/>
  <c r="AI39" i="6"/>
  <c r="AJ39" i="6"/>
  <c r="AK39" i="6"/>
  <c r="AL39" i="6"/>
  <c r="AM39" i="6"/>
  <c r="AN39" i="6"/>
  <c r="AO39" i="6"/>
  <c r="AP39" i="6"/>
  <c r="AQ39" i="6"/>
  <c r="AG9" i="4"/>
  <c r="AH9" i="4"/>
  <c r="AI9" i="4"/>
  <c r="AJ9" i="4"/>
  <c r="AK9" i="4"/>
  <c r="AL9" i="4"/>
  <c r="AM9" i="4"/>
  <c r="AN9" i="4"/>
  <c r="AO9" i="4"/>
  <c r="AP9" i="4"/>
  <c r="AQ9" i="4"/>
  <c r="AG17" i="4"/>
  <c r="AG51" i="6" s="1"/>
  <c r="AG52" i="6" s="1"/>
  <c r="AH17" i="4"/>
  <c r="AH51" i="6" s="1"/>
  <c r="AH52" i="6" s="1"/>
  <c r="AI17" i="4"/>
  <c r="AI51" i="6" s="1"/>
  <c r="AI52" i="6" s="1"/>
  <c r="AJ17" i="4"/>
  <c r="AK17" i="4"/>
  <c r="AK51" i="6" s="1"/>
  <c r="AK52" i="6" s="1"/>
  <c r="AL17" i="4"/>
  <c r="AL51" i="6" s="1"/>
  <c r="AL52" i="6" s="1"/>
  <c r="AM17" i="4"/>
  <c r="AM51" i="6" s="1"/>
  <c r="AM52" i="6" s="1"/>
  <c r="AN17" i="4"/>
  <c r="AO17" i="4"/>
  <c r="AO51" i="6" s="1"/>
  <c r="AO52" i="6" s="1"/>
  <c r="AP17" i="4"/>
  <c r="AP51" i="6" s="1"/>
  <c r="AP52" i="6" s="1"/>
  <c r="AQ17" i="4"/>
  <c r="AQ51" i="6" s="1"/>
  <c r="AQ52" i="6" s="1"/>
  <c r="AG23" i="4"/>
  <c r="AH23" i="4"/>
  <c r="AI23" i="4"/>
  <c r="AJ23" i="4"/>
  <c r="AJ25" i="4" s="1"/>
  <c r="AJ9" i="6" s="1"/>
  <c r="AJ35" i="6" s="1"/>
  <c r="AJ36" i="6" s="1"/>
  <c r="AK23" i="4"/>
  <c r="AL23" i="4"/>
  <c r="AM23" i="4"/>
  <c r="AN23" i="4"/>
  <c r="AN25" i="4" s="1"/>
  <c r="AN9" i="6" s="1"/>
  <c r="AN35" i="6" s="1"/>
  <c r="AN36" i="6" s="1"/>
  <c r="AO23" i="4"/>
  <c r="AP23" i="4"/>
  <c r="AQ23" i="4"/>
  <c r="AQ25" i="4" s="1"/>
  <c r="AG24" i="4"/>
  <c r="AH24" i="4"/>
  <c r="AH25" i="4" s="1"/>
  <c r="AH9" i="6" s="1"/>
  <c r="AH35" i="6" s="1"/>
  <c r="AH36" i="6" s="1"/>
  <c r="AI24" i="4"/>
  <c r="AJ24" i="4"/>
  <c r="AK24" i="4"/>
  <c r="AL24" i="4"/>
  <c r="AL25" i="4" s="1"/>
  <c r="AL9" i="6" s="1"/>
  <c r="AL35" i="6" s="1"/>
  <c r="AL36" i="6" s="1"/>
  <c r="AM24" i="4"/>
  <c r="AN24" i="4"/>
  <c r="AO24" i="4"/>
  <c r="AP24" i="4"/>
  <c r="AP25" i="4" s="1"/>
  <c r="AP9" i="6" s="1"/>
  <c r="AP35" i="6" s="1"/>
  <c r="AP36" i="6" s="1"/>
  <c r="AQ24" i="4"/>
  <c r="AI25" i="4"/>
  <c r="AI9" i="6" s="1"/>
  <c r="AI35" i="6" s="1"/>
  <c r="AI36" i="6" s="1"/>
  <c r="AM25" i="4"/>
  <c r="AM23" i="6" s="1"/>
  <c r="E20" i="3"/>
  <c r="F20" i="3"/>
  <c r="G20" i="3"/>
  <c r="H20" i="3"/>
  <c r="I20" i="3"/>
  <c r="J20" i="3"/>
  <c r="K20" i="3"/>
  <c r="L20" i="3"/>
  <c r="M20" i="3"/>
  <c r="N20" i="3"/>
  <c r="O20" i="3"/>
  <c r="P20" i="3"/>
  <c r="Q20" i="3"/>
  <c r="R20" i="3"/>
  <c r="S20" i="3"/>
  <c r="T20" i="3"/>
  <c r="U20" i="3"/>
  <c r="V20" i="3"/>
  <c r="W20" i="3"/>
  <c r="X20" i="3"/>
  <c r="Y20" i="3"/>
  <c r="Z20" i="3"/>
  <c r="AB20" i="3"/>
  <c r="AC20" i="3"/>
  <c r="AD20" i="3"/>
  <c r="AE20" i="3"/>
  <c r="AF20" i="3"/>
  <c r="AG20" i="3"/>
  <c r="AH20" i="3"/>
  <c r="AI20" i="3"/>
  <c r="AI32" i="3" s="1"/>
  <c r="AI44" i="3" s="1"/>
  <c r="AJ20" i="3"/>
  <c r="AL20" i="3"/>
  <c r="AM20" i="3"/>
  <c r="AN20" i="3"/>
  <c r="AO20" i="3"/>
  <c r="AP20" i="3"/>
  <c r="AQ20" i="3"/>
  <c r="E8" i="3"/>
  <c r="F8" i="3"/>
  <c r="G8" i="3"/>
  <c r="H8" i="3"/>
  <c r="I8" i="3"/>
  <c r="J8" i="3"/>
  <c r="K8" i="3"/>
  <c r="L8" i="3"/>
  <c r="M8" i="3"/>
  <c r="N8" i="3"/>
  <c r="O8" i="3"/>
  <c r="P8" i="3"/>
  <c r="Q8" i="3"/>
  <c r="R8" i="3"/>
  <c r="S8" i="3"/>
  <c r="T8" i="3"/>
  <c r="U8" i="3"/>
  <c r="V8" i="3"/>
  <c r="W8" i="3"/>
  <c r="X8" i="3"/>
  <c r="Y8" i="3"/>
  <c r="Z8" i="3"/>
  <c r="AA8" i="3"/>
  <c r="AB8" i="3"/>
  <c r="AC8" i="3"/>
  <c r="AD8" i="3"/>
  <c r="AE8" i="3"/>
  <c r="AF8" i="3"/>
  <c r="AG8" i="3"/>
  <c r="AH8" i="3"/>
  <c r="AI8" i="3"/>
  <c r="AJ8" i="3"/>
  <c r="AK8" i="3"/>
  <c r="AL8" i="3"/>
  <c r="AL32" i="3" s="1"/>
  <c r="AL44" i="3" s="1"/>
  <c r="AM8" i="3"/>
  <c r="AN8" i="3"/>
  <c r="AO8" i="3"/>
  <c r="AP8" i="3"/>
  <c r="AQ8" i="3"/>
  <c r="AG17" i="3"/>
  <c r="AH17" i="3"/>
  <c r="AI17" i="3"/>
  <c r="AJ17" i="3"/>
  <c r="AK17" i="3"/>
  <c r="AL17" i="3"/>
  <c r="AM17" i="3"/>
  <c r="AN17" i="3"/>
  <c r="AO17" i="3"/>
  <c r="AP17" i="3"/>
  <c r="AQ17" i="3"/>
  <c r="AG29" i="3"/>
  <c r="AH29" i="3"/>
  <c r="AI29" i="3"/>
  <c r="AJ29" i="3"/>
  <c r="AK29" i="3"/>
  <c r="AL29" i="3"/>
  <c r="AM29" i="3"/>
  <c r="AN29" i="3"/>
  <c r="AO29" i="3"/>
  <c r="AP29" i="3"/>
  <c r="AQ29" i="3"/>
  <c r="AG32" i="3"/>
  <c r="AG44" i="3" s="1"/>
  <c r="AM32" i="3"/>
  <c r="AM44" i="3" s="1"/>
  <c r="AO32" i="3"/>
  <c r="AO44" i="3" s="1"/>
  <c r="AQ32" i="3"/>
  <c r="AG41" i="3"/>
  <c r="AH41" i="3"/>
  <c r="AI41" i="3"/>
  <c r="AJ41" i="3"/>
  <c r="AK41" i="3"/>
  <c r="AL41" i="3"/>
  <c r="AM41" i="3"/>
  <c r="AN41" i="3"/>
  <c r="AO41" i="3"/>
  <c r="AP41" i="3"/>
  <c r="AQ41" i="3"/>
  <c r="AQ44" i="3"/>
  <c r="AF41" i="3"/>
  <c r="AF29" i="3"/>
  <c r="AF17" i="3"/>
  <c r="AG10" i="10"/>
  <c r="AH10" i="10"/>
  <c r="AI10" i="10"/>
  <c r="AJ10" i="10"/>
  <c r="AK10" i="10"/>
  <c r="AL10" i="10"/>
  <c r="AM10" i="10"/>
  <c r="AN10" i="10"/>
  <c r="AO10" i="10"/>
  <c r="AP10" i="10"/>
  <c r="AQ10" i="10"/>
  <c r="AG11" i="10"/>
  <c r="AH11" i="10"/>
  <c r="AI11" i="10"/>
  <c r="AJ11" i="10"/>
  <c r="AK11" i="10"/>
  <c r="AL11" i="10"/>
  <c r="AM11" i="10"/>
  <c r="AN11" i="10"/>
  <c r="AO11" i="10"/>
  <c r="AP11" i="10"/>
  <c r="AQ11" i="10"/>
  <c r="AG12" i="10"/>
  <c r="AH12" i="10"/>
  <c r="AI12" i="10"/>
  <c r="AJ12" i="10"/>
  <c r="AK12" i="10"/>
  <c r="AL12" i="10"/>
  <c r="AM12" i="10"/>
  <c r="AN12" i="10"/>
  <c r="AO12" i="10"/>
  <c r="AP12" i="10"/>
  <c r="AQ12" i="10"/>
  <c r="AJ19" i="31"/>
  <c r="AK19" i="31"/>
  <c r="AL19" i="31"/>
  <c r="AM19" i="31"/>
  <c r="AN19" i="31"/>
  <c r="AO19" i="31"/>
  <c r="AP19" i="31"/>
  <c r="AQ19" i="31"/>
  <c r="AR19" i="31"/>
  <c r="AS19" i="31"/>
  <c r="I5" i="2"/>
  <c r="AQ9" i="6" l="1"/>
  <c r="AQ35" i="6" s="1"/>
  <c r="AQ36" i="6" s="1"/>
  <c r="AQ23" i="6"/>
  <c r="AN23" i="6"/>
  <c r="AI23" i="6"/>
  <c r="AH32" i="3"/>
  <c r="AH44" i="3" s="1"/>
  <c r="AM9" i="6"/>
  <c r="AM35" i="6" s="1"/>
  <c r="AM36" i="6" s="1"/>
  <c r="AP23" i="6"/>
  <c r="AL23" i="6"/>
  <c r="AH23" i="6"/>
  <c r="AJ23" i="6"/>
  <c r="AO25" i="4"/>
  <c r="AK25" i="4"/>
  <c r="AG25" i="4"/>
  <c r="AP32" i="3"/>
  <c r="AP44" i="3" s="1"/>
  <c r="AN32" i="3"/>
  <c r="AJ32" i="3"/>
  <c r="AJ44" i="3" s="1"/>
  <c r="H733" i="31"/>
  <c r="G731" i="31"/>
  <c r="AK23" i="6" l="1"/>
  <c r="AK9" i="6"/>
  <c r="AK35" i="6" s="1"/>
  <c r="AK36" i="6" s="1"/>
  <c r="AO23" i="6"/>
  <c r="AO9" i="6"/>
  <c r="AO35" i="6" s="1"/>
  <c r="AO36" i="6" s="1"/>
  <c r="AG23" i="6"/>
  <c r="AG9" i="6"/>
  <c r="AG35" i="6" s="1"/>
  <c r="AG36" i="6" s="1"/>
  <c r="AN44" i="3"/>
  <c r="D732" i="31"/>
  <c r="D731" i="31"/>
  <c r="F19" i="31"/>
  <c r="S18" i="37"/>
  <c r="S20" i="37" s="1"/>
  <c r="D18" i="37"/>
  <c r="D20" i="37" s="1"/>
  <c r="B83" i="34"/>
  <c r="B82" i="34"/>
  <c r="B81" i="34"/>
  <c r="B79" i="34"/>
  <c r="B78" i="34"/>
  <c r="L17" i="34"/>
  <c r="G17" i="34"/>
  <c r="L16" i="34"/>
  <c r="G16" i="34"/>
  <c r="L15" i="34"/>
  <c r="G15" i="34"/>
  <c r="L13" i="34"/>
  <c r="G13" i="34"/>
  <c r="L12" i="34"/>
  <c r="G12" i="34"/>
  <c r="L8" i="34"/>
  <c r="G8" i="34"/>
  <c r="L7" i="34"/>
  <c r="G7" i="34"/>
  <c r="L6" i="34"/>
  <c r="G6" i="34"/>
  <c r="L4" i="34"/>
  <c r="G4" i="34"/>
  <c r="L3" i="34"/>
  <c r="G3" i="34"/>
  <c r="L15" i="33"/>
  <c r="G15" i="33"/>
  <c r="L14" i="33"/>
  <c r="G14" i="33"/>
  <c r="L12" i="33"/>
  <c r="G12" i="33"/>
  <c r="L11" i="33"/>
  <c r="G11" i="33"/>
  <c r="L7" i="33"/>
  <c r="G7" i="33"/>
  <c r="L6" i="33"/>
  <c r="G6" i="33"/>
  <c r="L4" i="33"/>
  <c r="G4" i="33"/>
  <c r="L3" i="33"/>
  <c r="G3" i="33"/>
  <c r="D42" i="1" l="1"/>
  <c r="C21" i="1"/>
  <c r="J100" i="31" l="1"/>
  <c r="G100" i="31"/>
  <c r="D100" i="31"/>
  <c r="J99" i="31"/>
  <c r="G99" i="31"/>
  <c r="D99" i="31"/>
  <c r="J98" i="31"/>
  <c r="G98" i="31"/>
  <c r="D98" i="31"/>
  <c r="K97" i="31"/>
  <c r="J97" i="31"/>
  <c r="L97" i="31" s="1"/>
  <c r="H97" i="31"/>
  <c r="G97" i="31"/>
  <c r="I97" i="31" s="1"/>
  <c r="E97" i="31"/>
  <c r="F97" i="31" s="1"/>
  <c r="D97" i="31"/>
  <c r="C97" i="31"/>
  <c r="K96" i="31"/>
  <c r="L96" i="31" s="1"/>
  <c r="J96" i="31"/>
  <c r="H96" i="31"/>
  <c r="G96" i="31"/>
  <c r="E96" i="31"/>
  <c r="D96" i="31"/>
  <c r="C96" i="31"/>
  <c r="B96" i="31"/>
  <c r="J95" i="31"/>
  <c r="G95" i="31"/>
  <c r="D95" i="31"/>
  <c r="C95" i="31"/>
  <c r="K94" i="31"/>
  <c r="J94" i="31"/>
  <c r="L94" i="31" s="1"/>
  <c r="H94" i="31"/>
  <c r="G94" i="31"/>
  <c r="I94" i="31" s="1"/>
  <c r="E94" i="31"/>
  <c r="F94" i="31" s="1"/>
  <c r="D94" i="31"/>
  <c r="C94" i="31"/>
  <c r="B94" i="31"/>
  <c r="L93" i="31"/>
  <c r="K93" i="31"/>
  <c r="J93" i="31"/>
  <c r="H93" i="31"/>
  <c r="G93" i="31"/>
  <c r="E93" i="31"/>
  <c r="D93" i="31"/>
  <c r="F93" i="31" s="1"/>
  <c r="C93" i="31"/>
  <c r="K92" i="31"/>
  <c r="J92" i="31"/>
  <c r="H92" i="31"/>
  <c r="G92" i="31"/>
  <c r="I92" i="31" s="1"/>
  <c r="F92" i="31"/>
  <c r="E92" i="31"/>
  <c r="D92" i="31"/>
  <c r="C92" i="31"/>
  <c r="B92" i="31"/>
  <c r="K91" i="31"/>
  <c r="J91" i="31"/>
  <c r="L91" i="31" s="1"/>
  <c r="H91" i="31"/>
  <c r="I91" i="31" s="1"/>
  <c r="G91" i="31"/>
  <c r="E91" i="31"/>
  <c r="D91" i="31"/>
  <c r="C91" i="31"/>
  <c r="K90" i="31"/>
  <c r="J90" i="31"/>
  <c r="H90" i="31"/>
  <c r="G90" i="31"/>
  <c r="I90" i="31" s="1"/>
  <c r="E90" i="31"/>
  <c r="D90" i="31"/>
  <c r="F90" i="31" s="1"/>
  <c r="C90" i="31"/>
  <c r="B90" i="31"/>
  <c r="K89" i="31"/>
  <c r="J89" i="31"/>
  <c r="L89" i="31" s="1"/>
  <c r="H89" i="31"/>
  <c r="G89" i="31"/>
  <c r="I89" i="31" s="1"/>
  <c r="E89" i="31"/>
  <c r="D89" i="31"/>
  <c r="F89" i="31" s="1"/>
  <c r="C89" i="31"/>
  <c r="K88" i="31"/>
  <c r="J88" i="31"/>
  <c r="L88" i="31" s="1"/>
  <c r="H88" i="31"/>
  <c r="I88" i="31" s="1"/>
  <c r="G88" i="31"/>
  <c r="E88" i="31"/>
  <c r="D88" i="31"/>
  <c r="F88" i="31" s="1"/>
  <c r="C88" i="31"/>
  <c r="K87" i="31"/>
  <c r="J87" i="31"/>
  <c r="L87" i="31" s="1"/>
  <c r="H87" i="31"/>
  <c r="G87" i="31"/>
  <c r="I87" i="31" s="1"/>
  <c r="E87" i="31"/>
  <c r="D87" i="31"/>
  <c r="F87" i="31" s="1"/>
  <c r="C87" i="31"/>
  <c r="K86" i="31"/>
  <c r="J86" i="31"/>
  <c r="L86" i="31" s="1"/>
  <c r="H86" i="31"/>
  <c r="I86" i="31" s="1"/>
  <c r="G86" i="31"/>
  <c r="E86" i="31"/>
  <c r="D86" i="31"/>
  <c r="F86" i="31" s="1"/>
  <c r="C86" i="31"/>
  <c r="K85" i="31"/>
  <c r="J85" i="31"/>
  <c r="L85" i="31" s="1"/>
  <c r="H85" i="31"/>
  <c r="G85" i="31"/>
  <c r="I85" i="31" s="1"/>
  <c r="E85" i="31"/>
  <c r="D85" i="31"/>
  <c r="F85" i="31" s="1"/>
  <c r="C85" i="31"/>
  <c r="K84" i="31"/>
  <c r="J84" i="31"/>
  <c r="L84" i="31" s="1"/>
  <c r="H84" i="31"/>
  <c r="I84" i="31" s="1"/>
  <c r="G84" i="31"/>
  <c r="E84" i="31"/>
  <c r="D84" i="31"/>
  <c r="F84" i="31" s="1"/>
  <c r="C84" i="31"/>
  <c r="K83" i="31"/>
  <c r="J83" i="31"/>
  <c r="L83" i="31" s="1"/>
  <c r="H83" i="31"/>
  <c r="G83" i="31"/>
  <c r="I83" i="31" s="1"/>
  <c r="E83" i="31"/>
  <c r="D83" i="31"/>
  <c r="F83" i="31" s="1"/>
  <c r="C83" i="31"/>
  <c r="K82" i="31"/>
  <c r="J82" i="31"/>
  <c r="L82" i="31" s="1"/>
  <c r="H82" i="31"/>
  <c r="I82" i="31" s="1"/>
  <c r="G82" i="31"/>
  <c r="E82" i="31"/>
  <c r="D82" i="31"/>
  <c r="F82" i="31" s="1"/>
  <c r="C82" i="31"/>
  <c r="K81" i="31"/>
  <c r="J81" i="31"/>
  <c r="L81" i="31" s="1"/>
  <c r="H81" i="31"/>
  <c r="G81" i="31"/>
  <c r="I81" i="31" s="1"/>
  <c r="E81" i="31"/>
  <c r="D81" i="31"/>
  <c r="F81" i="31" s="1"/>
  <c r="C81" i="31"/>
  <c r="B81" i="31"/>
  <c r="K80" i="31"/>
  <c r="J80" i="31"/>
  <c r="L80" i="31" s="1"/>
  <c r="I80" i="31"/>
  <c r="H80" i="31"/>
  <c r="G80" i="31"/>
  <c r="E80" i="31"/>
  <c r="D80" i="31"/>
  <c r="C80" i="31"/>
  <c r="K79" i="31"/>
  <c r="J79" i="31"/>
  <c r="H79" i="31"/>
  <c r="G79" i="31"/>
  <c r="E79" i="31"/>
  <c r="D79" i="31"/>
  <c r="F79" i="31" s="1"/>
  <c r="C79" i="31"/>
  <c r="B79" i="31"/>
  <c r="K78" i="31"/>
  <c r="J78" i="31"/>
  <c r="L78" i="31" s="1"/>
  <c r="H78" i="31"/>
  <c r="G78" i="31"/>
  <c r="E78" i="31"/>
  <c r="D78" i="31"/>
  <c r="F78" i="31" s="1"/>
  <c r="C78" i="31"/>
  <c r="K77" i="31"/>
  <c r="J77" i="31"/>
  <c r="L77" i="31" s="1"/>
  <c r="H77" i="31"/>
  <c r="G77" i="31"/>
  <c r="E77" i="31"/>
  <c r="D77" i="31"/>
  <c r="F77" i="31" s="1"/>
  <c r="C77" i="31"/>
  <c r="K76" i="31"/>
  <c r="J76" i="31"/>
  <c r="L76" i="31" s="1"/>
  <c r="H76" i="31"/>
  <c r="G76" i="31"/>
  <c r="E76" i="31"/>
  <c r="D76" i="31"/>
  <c r="F76" i="31" s="1"/>
  <c r="C76" i="31"/>
  <c r="B76" i="31"/>
  <c r="K75" i="31"/>
  <c r="J75" i="31"/>
  <c r="L75" i="31" s="1"/>
  <c r="H75" i="31"/>
  <c r="G75" i="31"/>
  <c r="I75" i="31" s="1"/>
  <c r="E75" i="31"/>
  <c r="F75" i="31" s="1"/>
  <c r="D75" i="31"/>
  <c r="C75" i="31"/>
  <c r="K74" i="31"/>
  <c r="J74" i="31"/>
  <c r="H74" i="31"/>
  <c r="G74" i="31"/>
  <c r="I74" i="31" s="1"/>
  <c r="E74" i="31"/>
  <c r="D74" i="31"/>
  <c r="F74" i="31" s="1"/>
  <c r="C74" i="31"/>
  <c r="K73" i="31"/>
  <c r="J73" i="31"/>
  <c r="L73" i="31" s="1"/>
  <c r="I73" i="31"/>
  <c r="H73" i="31"/>
  <c r="G73" i="31"/>
  <c r="E73" i="31"/>
  <c r="D73" i="31"/>
  <c r="C73" i="31"/>
  <c r="K72" i="31"/>
  <c r="J72" i="31"/>
  <c r="H72" i="31"/>
  <c r="G72" i="31"/>
  <c r="E72" i="31"/>
  <c r="D72" i="31"/>
  <c r="F72" i="31" s="1"/>
  <c r="C72" i="31"/>
  <c r="K71" i="31"/>
  <c r="J71" i="31"/>
  <c r="L71" i="31" s="1"/>
  <c r="H71" i="31"/>
  <c r="I71" i="31" s="1"/>
  <c r="G71" i="31"/>
  <c r="E71" i="31"/>
  <c r="D71" i="31"/>
  <c r="C71" i="31"/>
  <c r="K70" i="31"/>
  <c r="J70" i="31"/>
  <c r="H70" i="31"/>
  <c r="G70" i="31"/>
  <c r="I70" i="31" s="1"/>
  <c r="E70" i="31"/>
  <c r="D70" i="31"/>
  <c r="F70" i="31" s="1"/>
  <c r="C70" i="31"/>
  <c r="K69" i="31"/>
  <c r="J69" i="31"/>
  <c r="H69" i="31"/>
  <c r="G69" i="31"/>
  <c r="I69" i="31" s="1"/>
  <c r="E69" i="31"/>
  <c r="D69" i="31"/>
  <c r="C69" i="31"/>
  <c r="K68" i="31"/>
  <c r="L68" i="31" s="1"/>
  <c r="J68" i="31"/>
  <c r="H68" i="31"/>
  <c r="G68" i="31"/>
  <c r="I68" i="31" s="1"/>
  <c r="E68" i="31"/>
  <c r="D68" i="31"/>
  <c r="C68" i="31"/>
  <c r="K67" i="31"/>
  <c r="J67" i="31"/>
  <c r="L67" i="31" s="1"/>
  <c r="H67" i="31"/>
  <c r="G67" i="31"/>
  <c r="I67" i="31" s="1"/>
  <c r="E67" i="31"/>
  <c r="F67" i="31" s="1"/>
  <c r="D67" i="31"/>
  <c r="C67" i="31"/>
  <c r="K66" i="31"/>
  <c r="J66" i="31"/>
  <c r="H66" i="31"/>
  <c r="G66" i="31"/>
  <c r="I66" i="31" s="1"/>
  <c r="E66" i="31"/>
  <c r="D66" i="31"/>
  <c r="F66" i="31" s="1"/>
  <c r="C66" i="31"/>
  <c r="K65" i="31"/>
  <c r="J65" i="31"/>
  <c r="L65" i="31" s="1"/>
  <c r="I65" i="31"/>
  <c r="H65" i="31"/>
  <c r="G65" i="31"/>
  <c r="E65" i="31"/>
  <c r="D65" i="31"/>
  <c r="C65" i="31"/>
  <c r="K64" i="31"/>
  <c r="J64" i="31"/>
  <c r="H64" i="31"/>
  <c r="G64" i="31"/>
  <c r="E64" i="31"/>
  <c r="D64" i="31"/>
  <c r="F64" i="31" s="1"/>
  <c r="C64" i="31"/>
  <c r="K63" i="31"/>
  <c r="J63" i="31"/>
  <c r="L63" i="31" s="1"/>
  <c r="H63" i="31"/>
  <c r="I63" i="31" s="1"/>
  <c r="G63" i="31"/>
  <c r="E63" i="31"/>
  <c r="D63" i="31"/>
  <c r="C63" i="31"/>
  <c r="K62" i="31"/>
  <c r="J62" i="31"/>
  <c r="H62" i="31"/>
  <c r="G62" i="31"/>
  <c r="I62" i="31" s="1"/>
  <c r="E62" i="31"/>
  <c r="D62" i="31"/>
  <c r="F62" i="31" s="1"/>
  <c r="C62" i="31"/>
  <c r="K61" i="31"/>
  <c r="J61" i="31"/>
  <c r="H61" i="31"/>
  <c r="G61" i="31"/>
  <c r="I61" i="31" s="1"/>
  <c r="E61" i="31"/>
  <c r="D61" i="31"/>
  <c r="C61" i="31"/>
  <c r="B61" i="31"/>
  <c r="K60" i="31"/>
  <c r="J60" i="31"/>
  <c r="L60" i="31" s="1"/>
  <c r="H60" i="31"/>
  <c r="I60" i="31" s="1"/>
  <c r="G60" i="31"/>
  <c r="E60" i="31"/>
  <c r="D60" i="31"/>
  <c r="F60" i="31" s="1"/>
  <c r="C60" i="31"/>
  <c r="K59" i="31"/>
  <c r="J59" i="31"/>
  <c r="L59" i="31" s="1"/>
  <c r="H59" i="31"/>
  <c r="G59" i="31"/>
  <c r="I59" i="31" s="1"/>
  <c r="E59" i="31"/>
  <c r="D59" i="31"/>
  <c r="F59" i="31" s="1"/>
  <c r="C59" i="31"/>
  <c r="K58" i="31"/>
  <c r="J58" i="31"/>
  <c r="H58" i="31"/>
  <c r="I58" i="31" s="1"/>
  <c r="G58" i="31"/>
  <c r="E58" i="31"/>
  <c r="D58" i="31"/>
  <c r="C58" i="31"/>
  <c r="B58" i="31"/>
  <c r="D101" i="31" l="1"/>
  <c r="F80" i="31"/>
  <c r="I93" i="31"/>
  <c r="F63" i="31"/>
  <c r="L64" i="31"/>
  <c r="F71" i="31"/>
  <c r="L72" i="31"/>
  <c r="L79" i="31"/>
  <c r="F91" i="31"/>
  <c r="I96" i="31"/>
  <c r="J101" i="31"/>
  <c r="F65" i="31"/>
  <c r="L66" i="31"/>
  <c r="F73" i="31"/>
  <c r="L74" i="31"/>
  <c r="L58" i="31"/>
  <c r="F61" i="31"/>
  <c r="L61" i="31"/>
  <c r="L62" i="31"/>
  <c r="I64" i="31"/>
  <c r="F68" i="31"/>
  <c r="F69" i="31"/>
  <c r="L69" i="31"/>
  <c r="L70" i="31"/>
  <c r="I72" i="31"/>
  <c r="I76" i="31"/>
  <c r="I77" i="31"/>
  <c r="I78" i="31"/>
  <c r="I79" i="31"/>
  <c r="L90" i="31"/>
  <c r="L92" i="31"/>
  <c r="F96" i="31"/>
  <c r="G101" i="31"/>
  <c r="F58" i="31"/>
  <c r="D20" i="3" l="1"/>
  <c r="D8" i="3"/>
  <c r="G1054" i="31"/>
  <c r="C1054" i="31"/>
  <c r="G1053" i="31"/>
  <c r="C1053" i="31"/>
  <c r="G1052" i="31"/>
  <c r="C1052" i="31"/>
  <c r="G1050" i="31"/>
  <c r="C1050" i="31"/>
  <c r="G1049" i="31"/>
  <c r="C1049" i="31"/>
  <c r="G1048" i="31"/>
  <c r="C1048" i="31"/>
  <c r="G1047" i="31"/>
  <c r="C1047" i="31"/>
  <c r="G1046" i="31"/>
  <c r="C1046" i="31"/>
  <c r="G1045" i="31"/>
  <c r="C1045" i="31"/>
  <c r="C1039" i="31"/>
  <c r="C1038" i="31"/>
  <c r="C1037" i="31"/>
  <c r="C1035" i="31"/>
  <c r="C1034" i="31"/>
  <c r="C1033" i="31"/>
  <c r="C1032" i="31"/>
  <c r="C1031" i="31"/>
  <c r="C1030" i="31"/>
  <c r="C883" i="31"/>
  <c r="G884" i="31"/>
  <c r="F884" i="31"/>
  <c r="D884" i="31"/>
  <c r="G883" i="31"/>
  <c r="E883" i="31"/>
  <c r="G871" i="31"/>
  <c r="G870" i="31"/>
  <c r="G869" i="31"/>
  <c r="G834" i="31"/>
  <c r="G835" i="31"/>
  <c r="G833" i="31"/>
  <c r="G781" i="31"/>
  <c r="G793" i="31" s="1"/>
  <c r="G780" i="31"/>
  <c r="G792" i="31" s="1"/>
  <c r="G779" i="31"/>
  <c r="G791" i="31" s="1"/>
  <c r="G744" i="31"/>
  <c r="C731" i="31" s="1"/>
  <c r="G745" i="31"/>
  <c r="G743" i="31"/>
  <c r="D713" i="31"/>
  <c r="D705" i="31"/>
  <c r="D698" i="31"/>
  <c r="D697" i="31"/>
  <c r="D691" i="31"/>
  <c r="D685" i="31"/>
  <c r="D681" i="31"/>
  <c r="D677" i="31"/>
  <c r="D673" i="31"/>
  <c r="F670" i="31"/>
  <c r="D670" i="31"/>
  <c r="D715" i="31"/>
  <c r="D714" i="31"/>
  <c r="D712" i="31"/>
  <c r="D711" i="31"/>
  <c r="D710" i="31"/>
  <c r="D709" i="31"/>
  <c r="D708" i="31"/>
  <c r="D707" i="31"/>
  <c r="D706" i="31"/>
  <c r="D704" i="31"/>
  <c r="D703" i="31"/>
  <c r="D702" i="31"/>
  <c r="D701" i="31"/>
  <c r="D700" i="31"/>
  <c r="D699" i="31"/>
  <c r="D696" i="31"/>
  <c r="D695" i="31"/>
  <c r="D694" i="31"/>
  <c r="D693" i="31"/>
  <c r="D692" i="31"/>
  <c r="D690" i="31"/>
  <c r="D689" i="31"/>
  <c r="D688" i="31"/>
  <c r="D687" i="31"/>
  <c r="D686" i="31"/>
  <c r="D684" i="31"/>
  <c r="D683" i="31"/>
  <c r="D682" i="31"/>
  <c r="D680" i="31"/>
  <c r="D679" i="31"/>
  <c r="D678" i="31"/>
  <c r="D676" i="31"/>
  <c r="D675" i="31"/>
  <c r="D674" i="31"/>
  <c r="D672" i="31"/>
  <c r="C600" i="31"/>
  <c r="C602" i="31"/>
  <c r="G584" i="31"/>
  <c r="C584" i="31"/>
  <c r="G583" i="31"/>
  <c r="C583" i="31"/>
  <c r="G582" i="31"/>
  <c r="C582" i="31"/>
  <c r="G580" i="31"/>
  <c r="C580" i="31"/>
  <c r="G579" i="31"/>
  <c r="C579" i="31"/>
  <c r="G578" i="31"/>
  <c r="C578" i="31"/>
  <c r="G577" i="31"/>
  <c r="C577" i="31"/>
  <c r="G576" i="31"/>
  <c r="C576" i="31"/>
  <c r="G575" i="31"/>
  <c r="C575" i="31"/>
  <c r="G573" i="31"/>
  <c r="C573" i="31"/>
  <c r="G572" i="31"/>
  <c r="C572" i="31"/>
  <c r="G571" i="31"/>
  <c r="C571" i="31"/>
  <c r="G570" i="31"/>
  <c r="C570" i="31"/>
  <c r="G569" i="31"/>
  <c r="C569" i="31"/>
  <c r="G568" i="31"/>
  <c r="C568" i="31"/>
  <c r="G566" i="31"/>
  <c r="C566" i="31"/>
  <c r="G565" i="31"/>
  <c r="C565" i="31"/>
  <c r="G564" i="31"/>
  <c r="C564" i="31"/>
  <c r="G563" i="31"/>
  <c r="C563" i="31"/>
  <c r="G562" i="31"/>
  <c r="C562" i="31"/>
  <c r="G561" i="31"/>
  <c r="C561" i="31"/>
  <c r="G560" i="31"/>
  <c r="C560" i="31"/>
  <c r="G559" i="31"/>
  <c r="C559" i="31"/>
  <c r="C553" i="31"/>
  <c r="C552" i="31"/>
  <c r="C551" i="31"/>
  <c r="C549" i="31"/>
  <c r="C548" i="31"/>
  <c r="C547" i="31"/>
  <c r="C546" i="31"/>
  <c r="C545" i="31"/>
  <c r="C544" i="31"/>
  <c r="C542" i="31"/>
  <c r="C541" i="31"/>
  <c r="C540" i="31"/>
  <c r="C539" i="31"/>
  <c r="C538" i="31"/>
  <c r="C537" i="31"/>
  <c r="C535" i="31"/>
  <c r="C534" i="31"/>
  <c r="C533" i="31"/>
  <c r="C532" i="31"/>
  <c r="C531" i="31"/>
  <c r="C530" i="31"/>
  <c r="C529" i="31"/>
  <c r="C528" i="31"/>
  <c r="B492" i="31"/>
  <c r="B625" i="31" s="1"/>
  <c r="B689" i="31" s="1"/>
  <c r="B791" i="31" s="1"/>
  <c r="B941" i="31" s="1"/>
  <c r="C470" i="31"/>
  <c r="D470" i="31" s="1"/>
  <c r="E470" i="31" s="1"/>
  <c r="C418" i="31"/>
  <c r="C475" i="31" s="1"/>
  <c r="C608" i="31" s="1"/>
  <c r="C672" i="31" s="1"/>
  <c r="C740" i="31" s="1"/>
  <c r="C890" i="31" s="1"/>
  <c r="C398" i="31"/>
  <c r="C463" i="31" s="1"/>
  <c r="C518" i="31" s="1"/>
  <c r="C651" i="31" s="1"/>
  <c r="C715" i="31" s="1"/>
  <c r="C869" i="31" s="1"/>
  <c r="C1019" i="31" s="1"/>
  <c r="C1209" i="31" s="1"/>
  <c r="C1361" i="31" s="1"/>
  <c r="C390" i="31"/>
  <c r="C455" i="31" s="1"/>
  <c r="C510" i="31" s="1"/>
  <c r="C643" i="31" s="1"/>
  <c r="C707" i="31" s="1"/>
  <c r="C845" i="31" s="1"/>
  <c r="C995" i="31" s="1"/>
  <c r="C1185" i="31" s="1"/>
  <c r="C1337" i="31" s="1"/>
  <c r="C358" i="31"/>
  <c r="C421" i="31" s="1"/>
  <c r="C478" i="31" s="1"/>
  <c r="C611" i="31" s="1"/>
  <c r="C675" i="31" s="1"/>
  <c r="C749" i="31" s="1"/>
  <c r="C899" i="31" s="1"/>
  <c r="C351" i="31"/>
  <c r="I350" i="31"/>
  <c r="H350" i="31"/>
  <c r="G350" i="31"/>
  <c r="F350" i="31"/>
  <c r="E350" i="31"/>
  <c r="D350" i="31"/>
  <c r="B339" i="31"/>
  <c r="B398" i="31" s="1"/>
  <c r="B463" i="31" s="1"/>
  <c r="B518" i="31" s="1"/>
  <c r="B651" i="31" s="1"/>
  <c r="B715" i="31" s="1"/>
  <c r="B869" i="31" s="1"/>
  <c r="B1019" i="31" s="1"/>
  <c r="B1209" i="31" s="1"/>
  <c r="B1361" i="31" s="1"/>
  <c r="C336" i="31"/>
  <c r="C395" i="31" s="1"/>
  <c r="C460" i="31" s="1"/>
  <c r="C515" i="31" s="1"/>
  <c r="C648" i="31" s="1"/>
  <c r="C712" i="31" s="1"/>
  <c r="C860" i="31" s="1"/>
  <c r="C1010" i="31" s="1"/>
  <c r="C1200" i="31" s="1"/>
  <c r="C1352" i="31" s="1"/>
  <c r="B331" i="31"/>
  <c r="B390" i="31" s="1"/>
  <c r="B455" i="31" s="1"/>
  <c r="B510" i="31" s="1"/>
  <c r="B643" i="31" s="1"/>
  <c r="B707" i="31" s="1"/>
  <c r="B845" i="31" s="1"/>
  <c r="B995" i="31" s="1"/>
  <c r="B1185" i="31" s="1"/>
  <c r="B1337" i="31" s="1"/>
  <c r="C328" i="31"/>
  <c r="C387" i="31" s="1"/>
  <c r="C452" i="31" s="1"/>
  <c r="C507" i="31" s="1"/>
  <c r="C640" i="31" s="1"/>
  <c r="C704" i="31" s="1"/>
  <c r="C836" i="31" s="1"/>
  <c r="C986" i="31" s="1"/>
  <c r="B323" i="31"/>
  <c r="B382" i="31" s="1"/>
  <c r="B447" i="31" s="1"/>
  <c r="B502" i="31" s="1"/>
  <c r="B635" i="31" s="1"/>
  <c r="B699" i="31" s="1"/>
  <c r="B821" i="31" s="1"/>
  <c r="B971" i="31" s="1"/>
  <c r="C320" i="31"/>
  <c r="C379" i="31" s="1"/>
  <c r="C444" i="31" s="1"/>
  <c r="C499" i="31" s="1"/>
  <c r="C632" i="31" s="1"/>
  <c r="C696" i="31" s="1"/>
  <c r="C812" i="31" s="1"/>
  <c r="C962" i="31" s="1"/>
  <c r="C312" i="31"/>
  <c r="C371" i="31" s="1"/>
  <c r="C436" i="31" s="1"/>
  <c r="C491" i="31" s="1"/>
  <c r="C624" i="31" s="1"/>
  <c r="C688" i="31" s="1"/>
  <c r="C788" i="31" s="1"/>
  <c r="C938" i="31" s="1"/>
  <c r="C304" i="31"/>
  <c r="C363" i="31" s="1"/>
  <c r="C426" i="31" s="1"/>
  <c r="C483" i="31" s="1"/>
  <c r="C616" i="31" s="1"/>
  <c r="C680" i="31" s="1"/>
  <c r="C764" i="31" s="1"/>
  <c r="C914" i="31" s="1"/>
  <c r="C291" i="31"/>
  <c r="C296" i="31"/>
  <c r="C355" i="31" s="1"/>
  <c r="C292" i="31"/>
  <c r="C339" i="31"/>
  <c r="C338" i="31"/>
  <c r="C397" i="31" s="1"/>
  <c r="C462" i="31" s="1"/>
  <c r="C517" i="31" s="1"/>
  <c r="C650" i="31" s="1"/>
  <c r="C714" i="31" s="1"/>
  <c r="C866" i="31" s="1"/>
  <c r="C1016" i="31" s="1"/>
  <c r="C1206" i="31" s="1"/>
  <c r="C1358" i="31" s="1"/>
  <c r="B338" i="31"/>
  <c r="B397" i="31" s="1"/>
  <c r="B462" i="31" s="1"/>
  <c r="B517" i="31" s="1"/>
  <c r="B650" i="31" s="1"/>
  <c r="B714" i="31" s="1"/>
  <c r="B866" i="31" s="1"/>
  <c r="B1016" i="31" s="1"/>
  <c r="B1206" i="31" s="1"/>
  <c r="B1358" i="31" s="1"/>
  <c r="C337" i="31"/>
  <c r="C396" i="31" s="1"/>
  <c r="C461" i="31" s="1"/>
  <c r="C516" i="31" s="1"/>
  <c r="C649" i="31" s="1"/>
  <c r="C713" i="31" s="1"/>
  <c r="C863" i="31" s="1"/>
  <c r="C1013" i="31" s="1"/>
  <c r="C1203" i="31" s="1"/>
  <c r="C1355" i="31" s="1"/>
  <c r="B337" i="31"/>
  <c r="B396" i="31" s="1"/>
  <c r="B461" i="31" s="1"/>
  <c r="B516" i="31" s="1"/>
  <c r="B649" i="31" s="1"/>
  <c r="B713" i="31" s="1"/>
  <c r="B863" i="31" s="1"/>
  <c r="B1013" i="31" s="1"/>
  <c r="B1203" i="31" s="1"/>
  <c r="B1355" i="31" s="1"/>
  <c r="B336" i="31"/>
  <c r="B395" i="31" s="1"/>
  <c r="B460" i="31" s="1"/>
  <c r="B515" i="31" s="1"/>
  <c r="B648" i="31" s="1"/>
  <c r="B712" i="31" s="1"/>
  <c r="B860" i="31" s="1"/>
  <c r="B1010" i="31" s="1"/>
  <c r="B1200" i="31" s="1"/>
  <c r="B1352" i="31" s="1"/>
  <c r="C335" i="31"/>
  <c r="C394" i="31" s="1"/>
  <c r="C459" i="31" s="1"/>
  <c r="C514" i="31" s="1"/>
  <c r="C647" i="31" s="1"/>
  <c r="C711" i="31" s="1"/>
  <c r="C857" i="31" s="1"/>
  <c r="C1007" i="31" s="1"/>
  <c r="C1197" i="31" s="1"/>
  <c r="C1349" i="31" s="1"/>
  <c r="B335" i="31"/>
  <c r="B394" i="31" s="1"/>
  <c r="B459" i="31" s="1"/>
  <c r="B514" i="31" s="1"/>
  <c r="B647" i="31" s="1"/>
  <c r="B711" i="31" s="1"/>
  <c r="B857" i="31" s="1"/>
  <c r="B1007" i="31" s="1"/>
  <c r="B1197" i="31" s="1"/>
  <c r="B1349" i="31" s="1"/>
  <c r="C334" i="31"/>
  <c r="C393" i="31" s="1"/>
  <c r="C458" i="31" s="1"/>
  <c r="C513" i="31" s="1"/>
  <c r="C646" i="31" s="1"/>
  <c r="C710" i="31" s="1"/>
  <c r="C854" i="31" s="1"/>
  <c r="C1004" i="31" s="1"/>
  <c r="C1194" i="31" s="1"/>
  <c r="C1346" i="31" s="1"/>
  <c r="B334" i="31"/>
  <c r="B393" i="31" s="1"/>
  <c r="B458" i="31" s="1"/>
  <c r="B513" i="31" s="1"/>
  <c r="B646" i="31" s="1"/>
  <c r="B710" i="31" s="1"/>
  <c r="B854" i="31" s="1"/>
  <c r="B1004" i="31" s="1"/>
  <c r="B1194" i="31" s="1"/>
  <c r="B1346" i="31" s="1"/>
  <c r="C333" i="31"/>
  <c r="C392" i="31" s="1"/>
  <c r="C457" i="31" s="1"/>
  <c r="C512" i="31" s="1"/>
  <c r="C645" i="31" s="1"/>
  <c r="C709" i="31" s="1"/>
  <c r="C851" i="31" s="1"/>
  <c r="C1001" i="31" s="1"/>
  <c r="C1191" i="31" s="1"/>
  <c r="C1343" i="31" s="1"/>
  <c r="B333" i="31"/>
  <c r="B392" i="31" s="1"/>
  <c r="B457" i="31" s="1"/>
  <c r="B512" i="31" s="1"/>
  <c r="B645" i="31" s="1"/>
  <c r="B709" i="31" s="1"/>
  <c r="B851" i="31" s="1"/>
  <c r="B1001" i="31" s="1"/>
  <c r="B1191" i="31" s="1"/>
  <c r="B1343" i="31" s="1"/>
  <c r="C332" i="31"/>
  <c r="C391" i="31" s="1"/>
  <c r="C456" i="31" s="1"/>
  <c r="C511" i="31" s="1"/>
  <c r="C644" i="31" s="1"/>
  <c r="C708" i="31" s="1"/>
  <c r="C848" i="31" s="1"/>
  <c r="C998" i="31" s="1"/>
  <c r="C1188" i="31" s="1"/>
  <c r="C1340" i="31" s="1"/>
  <c r="B332" i="31"/>
  <c r="B391" i="31" s="1"/>
  <c r="B456" i="31" s="1"/>
  <c r="B511" i="31" s="1"/>
  <c r="B644" i="31" s="1"/>
  <c r="B708" i="31" s="1"/>
  <c r="B848" i="31" s="1"/>
  <c r="B998" i="31" s="1"/>
  <c r="B1188" i="31" s="1"/>
  <c r="B1340" i="31" s="1"/>
  <c r="C331" i="31"/>
  <c r="C330" i="31"/>
  <c r="C389" i="31" s="1"/>
  <c r="C454" i="31" s="1"/>
  <c r="C509" i="31" s="1"/>
  <c r="C642" i="31" s="1"/>
  <c r="C706" i="31" s="1"/>
  <c r="C842" i="31" s="1"/>
  <c r="C992" i="31" s="1"/>
  <c r="C1182" i="31" s="1"/>
  <c r="C1334" i="31" s="1"/>
  <c r="B330" i="31"/>
  <c r="B389" i="31" s="1"/>
  <c r="B454" i="31" s="1"/>
  <c r="B509" i="31" s="1"/>
  <c r="B642" i="31" s="1"/>
  <c r="B706" i="31" s="1"/>
  <c r="B842" i="31" s="1"/>
  <c r="B992" i="31" s="1"/>
  <c r="B1182" i="31" s="1"/>
  <c r="B1334" i="31" s="1"/>
  <c r="C329" i="31"/>
  <c r="C388" i="31" s="1"/>
  <c r="C453" i="31" s="1"/>
  <c r="C508" i="31" s="1"/>
  <c r="C641" i="31" s="1"/>
  <c r="C705" i="31" s="1"/>
  <c r="C839" i="31" s="1"/>
  <c r="C989" i="31" s="1"/>
  <c r="B329" i="31"/>
  <c r="B388" i="31" s="1"/>
  <c r="B453" i="31" s="1"/>
  <c r="B508" i="31" s="1"/>
  <c r="B641" i="31" s="1"/>
  <c r="B705" i="31" s="1"/>
  <c r="B839" i="31" s="1"/>
  <c r="B989" i="31" s="1"/>
  <c r="B328" i="31"/>
  <c r="B387" i="31" s="1"/>
  <c r="B452" i="31" s="1"/>
  <c r="B507" i="31" s="1"/>
  <c r="B640" i="31" s="1"/>
  <c r="B704" i="31" s="1"/>
  <c r="B836" i="31" s="1"/>
  <c r="B986" i="31" s="1"/>
  <c r="C327" i="31"/>
  <c r="C386" i="31" s="1"/>
  <c r="C451" i="31" s="1"/>
  <c r="C506" i="31" s="1"/>
  <c r="C639" i="31" s="1"/>
  <c r="C703" i="31" s="1"/>
  <c r="C833" i="31" s="1"/>
  <c r="C983" i="31" s="1"/>
  <c r="B327" i="31"/>
  <c r="B386" i="31" s="1"/>
  <c r="B451" i="31" s="1"/>
  <c r="B506" i="31" s="1"/>
  <c r="B639" i="31" s="1"/>
  <c r="B703" i="31" s="1"/>
  <c r="B833" i="31" s="1"/>
  <c r="B983" i="31" s="1"/>
  <c r="C326" i="31"/>
  <c r="C385" i="31" s="1"/>
  <c r="C450" i="31" s="1"/>
  <c r="C505" i="31" s="1"/>
  <c r="C638" i="31" s="1"/>
  <c r="C702" i="31" s="1"/>
  <c r="C830" i="31" s="1"/>
  <c r="C980" i="31" s="1"/>
  <c r="B326" i="31"/>
  <c r="B385" i="31" s="1"/>
  <c r="B450" i="31" s="1"/>
  <c r="B505" i="31" s="1"/>
  <c r="B638" i="31" s="1"/>
  <c r="B702" i="31" s="1"/>
  <c r="B830" i="31" s="1"/>
  <c r="B980" i="31" s="1"/>
  <c r="C325" i="31"/>
  <c r="C384" i="31" s="1"/>
  <c r="C449" i="31" s="1"/>
  <c r="C504" i="31" s="1"/>
  <c r="C637" i="31" s="1"/>
  <c r="C701" i="31" s="1"/>
  <c r="C827" i="31" s="1"/>
  <c r="C977" i="31" s="1"/>
  <c r="B325" i="31"/>
  <c r="B384" i="31" s="1"/>
  <c r="B449" i="31" s="1"/>
  <c r="B504" i="31" s="1"/>
  <c r="B637" i="31" s="1"/>
  <c r="B701" i="31" s="1"/>
  <c r="B827" i="31" s="1"/>
  <c r="B977" i="31" s="1"/>
  <c r="C324" i="31"/>
  <c r="C383" i="31" s="1"/>
  <c r="C448" i="31" s="1"/>
  <c r="C503" i="31" s="1"/>
  <c r="C636" i="31" s="1"/>
  <c r="C700" i="31" s="1"/>
  <c r="C824" i="31" s="1"/>
  <c r="C974" i="31" s="1"/>
  <c r="B324" i="31"/>
  <c r="B383" i="31" s="1"/>
  <c r="B448" i="31" s="1"/>
  <c r="B503" i="31" s="1"/>
  <c r="B636" i="31" s="1"/>
  <c r="B700" i="31" s="1"/>
  <c r="B824" i="31" s="1"/>
  <c r="B974" i="31" s="1"/>
  <c r="B1164" i="31" s="1"/>
  <c r="C323" i="31"/>
  <c r="C382" i="31" s="1"/>
  <c r="C447" i="31" s="1"/>
  <c r="C502" i="31" s="1"/>
  <c r="C635" i="31" s="1"/>
  <c r="C699" i="31" s="1"/>
  <c r="C821" i="31" s="1"/>
  <c r="C971" i="31" s="1"/>
  <c r="C322" i="31"/>
  <c r="C381" i="31" s="1"/>
  <c r="C446" i="31" s="1"/>
  <c r="C501" i="31" s="1"/>
  <c r="C634" i="31" s="1"/>
  <c r="C698" i="31" s="1"/>
  <c r="C818" i="31" s="1"/>
  <c r="C968" i="31" s="1"/>
  <c r="B322" i="31"/>
  <c r="B381" i="31" s="1"/>
  <c r="B446" i="31" s="1"/>
  <c r="B501" i="31" s="1"/>
  <c r="B634" i="31" s="1"/>
  <c r="B698" i="31" s="1"/>
  <c r="B818" i="31" s="1"/>
  <c r="B968" i="31" s="1"/>
  <c r="C321" i="31"/>
  <c r="C380" i="31" s="1"/>
  <c r="C445" i="31" s="1"/>
  <c r="C500" i="31" s="1"/>
  <c r="C633" i="31" s="1"/>
  <c r="C697" i="31" s="1"/>
  <c r="C815" i="31" s="1"/>
  <c r="C965" i="31" s="1"/>
  <c r="B321" i="31"/>
  <c r="B380" i="31" s="1"/>
  <c r="B445" i="31" s="1"/>
  <c r="B500" i="31" s="1"/>
  <c r="B633" i="31" s="1"/>
  <c r="B697" i="31" s="1"/>
  <c r="B815" i="31" s="1"/>
  <c r="B965" i="31" s="1"/>
  <c r="B320" i="31"/>
  <c r="B379" i="31" s="1"/>
  <c r="B444" i="31" s="1"/>
  <c r="B499" i="31" s="1"/>
  <c r="B632" i="31" s="1"/>
  <c r="B696" i="31" s="1"/>
  <c r="B812" i="31" s="1"/>
  <c r="B962" i="31" s="1"/>
  <c r="C319" i="31"/>
  <c r="C378" i="31" s="1"/>
  <c r="C443" i="31" s="1"/>
  <c r="C498" i="31" s="1"/>
  <c r="C631" i="31" s="1"/>
  <c r="C695" i="31" s="1"/>
  <c r="C809" i="31" s="1"/>
  <c r="C959" i="31" s="1"/>
  <c r="B319" i="31"/>
  <c r="B378" i="31" s="1"/>
  <c r="B443" i="31" s="1"/>
  <c r="B498" i="31" s="1"/>
  <c r="B631" i="31" s="1"/>
  <c r="B695" i="31" s="1"/>
  <c r="B809" i="31" s="1"/>
  <c r="B959" i="31" s="1"/>
  <c r="C318" i="31"/>
  <c r="C377" i="31" s="1"/>
  <c r="C442" i="31" s="1"/>
  <c r="C497" i="31" s="1"/>
  <c r="C630" i="31" s="1"/>
  <c r="C694" i="31" s="1"/>
  <c r="C806" i="31" s="1"/>
  <c r="C956" i="31" s="1"/>
  <c r="B318" i="31"/>
  <c r="B377" i="31" s="1"/>
  <c r="B442" i="31" s="1"/>
  <c r="B497" i="31" s="1"/>
  <c r="B630" i="31" s="1"/>
  <c r="B694" i="31" s="1"/>
  <c r="B806" i="31" s="1"/>
  <c r="B956" i="31" s="1"/>
  <c r="C317" i="31"/>
  <c r="C376" i="31" s="1"/>
  <c r="C441" i="31" s="1"/>
  <c r="C496" i="31" s="1"/>
  <c r="C629" i="31" s="1"/>
  <c r="C693" i="31" s="1"/>
  <c r="C803" i="31" s="1"/>
  <c r="C953" i="31" s="1"/>
  <c r="B317" i="31"/>
  <c r="B376" i="31" s="1"/>
  <c r="B441" i="31" s="1"/>
  <c r="B496" i="31" s="1"/>
  <c r="B629" i="31" s="1"/>
  <c r="B693" i="31" s="1"/>
  <c r="B803" i="31" s="1"/>
  <c r="B953" i="31" s="1"/>
  <c r="C316" i="31"/>
  <c r="C375" i="31" s="1"/>
  <c r="C440" i="31" s="1"/>
  <c r="C495" i="31" s="1"/>
  <c r="C628" i="31" s="1"/>
  <c r="C692" i="31" s="1"/>
  <c r="C800" i="31" s="1"/>
  <c r="C950" i="31" s="1"/>
  <c r="B316" i="31"/>
  <c r="B375" i="31" s="1"/>
  <c r="B440" i="31" s="1"/>
  <c r="B495" i="31" s="1"/>
  <c r="B628" i="31" s="1"/>
  <c r="B692" i="31" s="1"/>
  <c r="B800" i="31" s="1"/>
  <c r="B950" i="31" s="1"/>
  <c r="C315" i="31"/>
  <c r="C374" i="31" s="1"/>
  <c r="C439" i="31" s="1"/>
  <c r="C494" i="31" s="1"/>
  <c r="C627" i="31" s="1"/>
  <c r="C691" i="31" s="1"/>
  <c r="C797" i="31" s="1"/>
  <c r="C947" i="31" s="1"/>
  <c r="B315" i="31"/>
  <c r="B374" i="31" s="1"/>
  <c r="B439" i="31" s="1"/>
  <c r="B494" i="31" s="1"/>
  <c r="B627" i="31" s="1"/>
  <c r="B691" i="31" s="1"/>
  <c r="B797" i="31" s="1"/>
  <c r="B947" i="31" s="1"/>
  <c r="C314" i="31"/>
  <c r="C373" i="31" s="1"/>
  <c r="C438" i="31" s="1"/>
  <c r="C493" i="31" s="1"/>
  <c r="C626" i="31" s="1"/>
  <c r="C690" i="31" s="1"/>
  <c r="C794" i="31" s="1"/>
  <c r="C944" i="31" s="1"/>
  <c r="B314" i="31"/>
  <c r="B373" i="31" s="1"/>
  <c r="B438" i="31" s="1"/>
  <c r="B493" i="31" s="1"/>
  <c r="B626" i="31" s="1"/>
  <c r="B690" i="31" s="1"/>
  <c r="B794" i="31" s="1"/>
  <c r="B944" i="31" s="1"/>
  <c r="C313" i="31"/>
  <c r="C372" i="31" s="1"/>
  <c r="C437" i="31" s="1"/>
  <c r="C492" i="31" s="1"/>
  <c r="C625" i="31" s="1"/>
  <c r="C689" i="31" s="1"/>
  <c r="C791" i="31" s="1"/>
  <c r="C941" i="31" s="1"/>
  <c r="B313" i="31"/>
  <c r="B372" i="31" s="1"/>
  <c r="B437" i="31" s="1"/>
  <c r="B312" i="31"/>
  <c r="B371" i="31" s="1"/>
  <c r="B436" i="31" s="1"/>
  <c r="B491" i="31" s="1"/>
  <c r="B624" i="31" s="1"/>
  <c r="B688" i="31" s="1"/>
  <c r="B788" i="31" s="1"/>
  <c r="B938" i="31" s="1"/>
  <c r="C311" i="31"/>
  <c r="C370" i="31" s="1"/>
  <c r="C435" i="31" s="1"/>
  <c r="C490" i="31" s="1"/>
  <c r="C623" i="31" s="1"/>
  <c r="C687" i="31" s="1"/>
  <c r="C785" i="31" s="1"/>
  <c r="C935" i="31" s="1"/>
  <c r="B311" i="31"/>
  <c r="B370" i="31" s="1"/>
  <c r="B435" i="31" s="1"/>
  <c r="B490" i="31" s="1"/>
  <c r="B623" i="31" s="1"/>
  <c r="B687" i="31" s="1"/>
  <c r="B785" i="31" s="1"/>
  <c r="B935" i="31" s="1"/>
  <c r="C310" i="31"/>
  <c r="C369" i="31" s="1"/>
  <c r="C434" i="31" s="1"/>
  <c r="C489" i="31" s="1"/>
  <c r="C622" i="31" s="1"/>
  <c r="C686" i="31" s="1"/>
  <c r="C782" i="31" s="1"/>
  <c r="C932" i="31" s="1"/>
  <c r="B310" i="31"/>
  <c r="B369" i="31" s="1"/>
  <c r="B434" i="31" s="1"/>
  <c r="B489" i="31" s="1"/>
  <c r="B622" i="31" s="1"/>
  <c r="B686" i="31" s="1"/>
  <c r="B782" i="31" s="1"/>
  <c r="B932" i="31" s="1"/>
  <c r="C309" i="31"/>
  <c r="C368" i="31" s="1"/>
  <c r="C433" i="31" s="1"/>
  <c r="C488" i="31" s="1"/>
  <c r="C621" i="31" s="1"/>
  <c r="C685" i="31" s="1"/>
  <c r="C779" i="31" s="1"/>
  <c r="C929" i="31" s="1"/>
  <c r="B309" i="31"/>
  <c r="B368" i="31" s="1"/>
  <c r="B433" i="31" s="1"/>
  <c r="B488" i="31" s="1"/>
  <c r="B621" i="31" s="1"/>
  <c r="B685" i="31" s="1"/>
  <c r="B779" i="31" s="1"/>
  <c r="B929" i="31" s="1"/>
  <c r="C308" i="31"/>
  <c r="C367" i="31" s="1"/>
  <c r="C432" i="31" s="1"/>
  <c r="C487" i="31" s="1"/>
  <c r="C620" i="31" s="1"/>
  <c r="C684" i="31" s="1"/>
  <c r="C776" i="31" s="1"/>
  <c r="C926" i="31" s="1"/>
  <c r="B308" i="31"/>
  <c r="B367" i="31" s="1"/>
  <c r="B432" i="31" s="1"/>
  <c r="B487" i="31" s="1"/>
  <c r="B620" i="31" s="1"/>
  <c r="B684" i="31" s="1"/>
  <c r="B776" i="31" s="1"/>
  <c r="B926" i="31" s="1"/>
  <c r="B1116" i="31" s="1"/>
  <c r="C307" i="31"/>
  <c r="C366" i="31" s="1"/>
  <c r="C431" i="31" s="1"/>
  <c r="C486" i="31" s="1"/>
  <c r="C619" i="31" s="1"/>
  <c r="C683" i="31" s="1"/>
  <c r="C773" i="31" s="1"/>
  <c r="C923" i="31" s="1"/>
  <c r="B307" i="31"/>
  <c r="B366" i="31" s="1"/>
  <c r="B431" i="31" s="1"/>
  <c r="B486" i="31" s="1"/>
  <c r="B619" i="31" s="1"/>
  <c r="B683" i="31" s="1"/>
  <c r="B773" i="31" s="1"/>
  <c r="B923" i="31" s="1"/>
  <c r="C306" i="31"/>
  <c r="C365" i="31" s="1"/>
  <c r="C428" i="31" s="1"/>
  <c r="C485" i="31" s="1"/>
  <c r="C618" i="31" s="1"/>
  <c r="C682" i="31" s="1"/>
  <c r="C770" i="31" s="1"/>
  <c r="C920" i="31" s="1"/>
  <c r="B306" i="31"/>
  <c r="B365" i="31" s="1"/>
  <c r="B428" i="31" s="1"/>
  <c r="B485" i="31" s="1"/>
  <c r="B618" i="31" s="1"/>
  <c r="B682" i="31" s="1"/>
  <c r="B770" i="31" s="1"/>
  <c r="B920" i="31" s="1"/>
  <c r="C305" i="31"/>
  <c r="C364" i="31" s="1"/>
  <c r="C427" i="31" s="1"/>
  <c r="C484" i="31" s="1"/>
  <c r="C617" i="31" s="1"/>
  <c r="C681" i="31" s="1"/>
  <c r="C767" i="31" s="1"/>
  <c r="C917" i="31" s="1"/>
  <c r="B305" i="31"/>
  <c r="B364" i="31" s="1"/>
  <c r="B427" i="31" s="1"/>
  <c r="B484" i="31" s="1"/>
  <c r="B617" i="31" s="1"/>
  <c r="B681" i="31" s="1"/>
  <c r="B767" i="31" s="1"/>
  <c r="B917" i="31" s="1"/>
  <c r="B304" i="31"/>
  <c r="B363" i="31" s="1"/>
  <c r="B426" i="31" s="1"/>
  <c r="B483" i="31" s="1"/>
  <c r="B616" i="31" s="1"/>
  <c r="B680" i="31" s="1"/>
  <c r="B764" i="31" s="1"/>
  <c r="B914" i="31" s="1"/>
  <c r="C303" i="31"/>
  <c r="C362" i="31" s="1"/>
  <c r="C425" i="31" s="1"/>
  <c r="C482" i="31" s="1"/>
  <c r="C615" i="31" s="1"/>
  <c r="C679" i="31" s="1"/>
  <c r="C761" i="31" s="1"/>
  <c r="C911" i="31" s="1"/>
  <c r="B303" i="31"/>
  <c r="B362" i="31" s="1"/>
  <c r="B425" i="31" s="1"/>
  <c r="B482" i="31" s="1"/>
  <c r="B615" i="31" s="1"/>
  <c r="B679" i="31" s="1"/>
  <c r="B761" i="31" s="1"/>
  <c r="B911" i="31" s="1"/>
  <c r="C302" i="31"/>
  <c r="C361" i="31" s="1"/>
  <c r="C424" i="31" s="1"/>
  <c r="C481" i="31" s="1"/>
  <c r="C614" i="31" s="1"/>
  <c r="C678" i="31" s="1"/>
  <c r="C758" i="31" s="1"/>
  <c r="C908" i="31" s="1"/>
  <c r="B302" i="31"/>
  <c r="B361" i="31" s="1"/>
  <c r="B424" i="31" s="1"/>
  <c r="B481" i="31" s="1"/>
  <c r="B614" i="31" s="1"/>
  <c r="B678" i="31" s="1"/>
  <c r="B758" i="31" s="1"/>
  <c r="B908" i="31" s="1"/>
  <c r="C301" i="31"/>
  <c r="C360" i="31" s="1"/>
  <c r="C423" i="31" s="1"/>
  <c r="C480" i="31" s="1"/>
  <c r="C613" i="31" s="1"/>
  <c r="C677" i="31" s="1"/>
  <c r="C755" i="31" s="1"/>
  <c r="C905" i="31" s="1"/>
  <c r="B301" i="31"/>
  <c r="B360" i="31" s="1"/>
  <c r="B423" i="31" s="1"/>
  <c r="B480" i="31" s="1"/>
  <c r="B613" i="31" s="1"/>
  <c r="B677" i="31" s="1"/>
  <c r="B755" i="31" s="1"/>
  <c r="B905" i="31" s="1"/>
  <c r="C300" i="31"/>
  <c r="C359" i="31" s="1"/>
  <c r="C422" i="31" s="1"/>
  <c r="C479" i="31" s="1"/>
  <c r="C612" i="31" s="1"/>
  <c r="C676" i="31" s="1"/>
  <c r="C752" i="31" s="1"/>
  <c r="C902" i="31" s="1"/>
  <c r="B300" i="31"/>
  <c r="B359" i="31" s="1"/>
  <c r="B422" i="31" s="1"/>
  <c r="B479" i="31" s="1"/>
  <c r="B612" i="31" s="1"/>
  <c r="B676" i="31" s="1"/>
  <c r="B752" i="31" s="1"/>
  <c r="B902" i="31" s="1"/>
  <c r="C299" i="31"/>
  <c r="B299" i="31"/>
  <c r="B358" i="31" s="1"/>
  <c r="B421" i="31" s="1"/>
  <c r="B478" i="31" s="1"/>
  <c r="B611" i="31" s="1"/>
  <c r="B675" i="31" s="1"/>
  <c r="B749" i="31" s="1"/>
  <c r="B899" i="31" s="1"/>
  <c r="C298" i="31"/>
  <c r="C357" i="31" s="1"/>
  <c r="C420" i="31" s="1"/>
  <c r="C477" i="31" s="1"/>
  <c r="C610" i="31" s="1"/>
  <c r="C674" i="31" s="1"/>
  <c r="C746" i="31" s="1"/>
  <c r="C896" i="31" s="1"/>
  <c r="B298" i="31"/>
  <c r="B357" i="31" s="1"/>
  <c r="B420" i="31" s="1"/>
  <c r="B477" i="31" s="1"/>
  <c r="B610" i="31" s="1"/>
  <c r="B674" i="31" s="1"/>
  <c r="B746" i="31" s="1"/>
  <c r="B896" i="31" s="1"/>
  <c r="C297" i="31"/>
  <c r="C356" i="31" s="1"/>
  <c r="C419" i="31" s="1"/>
  <c r="C476" i="31" s="1"/>
  <c r="C609" i="31" s="1"/>
  <c r="C673" i="31" s="1"/>
  <c r="C743" i="31" s="1"/>
  <c r="C893" i="31" s="1"/>
  <c r="B297" i="31"/>
  <c r="B356" i="31" s="1"/>
  <c r="B419" i="31" s="1"/>
  <c r="B476" i="31" s="1"/>
  <c r="B609" i="31" s="1"/>
  <c r="B673" i="31" s="1"/>
  <c r="B743" i="31" s="1"/>
  <c r="B893" i="31" s="1"/>
  <c r="B296" i="31"/>
  <c r="B355" i="31" s="1"/>
  <c r="B418" i="31" s="1"/>
  <c r="B475" i="31" s="1"/>
  <c r="B608" i="31" s="1"/>
  <c r="B672" i="31" s="1"/>
  <c r="B740" i="31" s="1"/>
  <c r="B890" i="31" s="1"/>
  <c r="C295" i="31"/>
  <c r="C354" i="31" s="1"/>
  <c r="C417" i="31" s="1"/>
  <c r="C474" i="31" s="1"/>
  <c r="C607" i="31" s="1"/>
  <c r="C671" i="31" s="1"/>
  <c r="C737" i="31" s="1"/>
  <c r="C887" i="31" s="1"/>
  <c r="B295" i="31"/>
  <c r="B354" i="31" s="1"/>
  <c r="B417" i="31" s="1"/>
  <c r="B474" i="31" s="1"/>
  <c r="B607" i="31" s="1"/>
  <c r="B671" i="31" s="1"/>
  <c r="B737" i="31" s="1"/>
  <c r="B887" i="31" s="1"/>
  <c r="C233" i="31"/>
  <c r="F232" i="31"/>
  <c r="C232" i="31"/>
  <c r="D232" i="31" s="1"/>
  <c r="C231" i="31"/>
  <c r="C230" i="31"/>
  <c r="F230" i="31" s="1"/>
  <c r="G216" i="31"/>
  <c r="G214" i="31"/>
  <c r="G213" i="31"/>
  <c r="G212" i="31"/>
  <c r="G211" i="31"/>
  <c r="G209" i="31"/>
  <c r="G207" i="31"/>
  <c r="G205" i="31"/>
  <c r="G204" i="31"/>
  <c r="C198" i="31"/>
  <c r="C196" i="31"/>
  <c r="C195" i="31"/>
  <c r="C194" i="31"/>
  <c r="C193" i="31"/>
  <c r="C191" i="31"/>
  <c r="C189" i="31"/>
  <c r="C187" i="31"/>
  <c r="C186" i="31"/>
  <c r="F160" i="31"/>
  <c r="F161" i="31" s="1"/>
  <c r="J48" i="31"/>
  <c r="I48" i="31"/>
  <c r="F48" i="31"/>
  <c r="G48" i="31"/>
  <c r="D48" i="31"/>
  <c r="C48" i="31"/>
  <c r="F20" i="31"/>
  <c r="AI19" i="31"/>
  <c r="AH19" i="31"/>
  <c r="AG19" i="31"/>
  <c r="AF19" i="31"/>
  <c r="AE19" i="31"/>
  <c r="AD19" i="31"/>
  <c r="AC19" i="31"/>
  <c r="AB19" i="31"/>
  <c r="AA19" i="31"/>
  <c r="Z19" i="31"/>
  <c r="Y19" i="31"/>
  <c r="X19" i="31"/>
  <c r="W19" i="31"/>
  <c r="V19" i="31"/>
  <c r="U19" i="31"/>
  <c r="T19" i="31"/>
  <c r="S19" i="31"/>
  <c r="R19" i="31"/>
  <c r="Q19" i="31"/>
  <c r="P19" i="31"/>
  <c r="O19" i="31"/>
  <c r="N19" i="31"/>
  <c r="M19" i="31"/>
  <c r="L19" i="31"/>
  <c r="K19" i="31"/>
  <c r="J19" i="31"/>
  <c r="I19" i="31"/>
  <c r="H19" i="31"/>
  <c r="G19" i="31"/>
  <c r="G8" i="31"/>
  <c r="G20" i="31" s="1"/>
  <c r="V29" i="2"/>
  <c r="V28" i="2"/>
  <c r="V27" i="2"/>
  <c r="V26" i="2"/>
  <c r="V25" i="2"/>
  <c r="V24" i="2"/>
  <c r="V23" i="2"/>
  <c r="V22" i="2"/>
  <c r="V21" i="2"/>
  <c r="V20" i="2"/>
  <c r="V19" i="2"/>
  <c r="V18" i="2"/>
  <c r="V17" i="2"/>
  <c r="V16" i="2"/>
  <c r="V15" i="2"/>
  <c r="V14" i="2"/>
  <c r="V13" i="2"/>
  <c r="V12" i="2"/>
  <c r="Z10" i="2"/>
  <c r="Z30" i="2" s="1"/>
  <c r="V11" i="2"/>
  <c r="Y10" i="2"/>
  <c r="Y30" i="2" s="1"/>
  <c r="X10" i="2"/>
  <c r="X30" i="2" s="1"/>
  <c r="W10" i="2"/>
  <c r="W30" i="2" s="1"/>
  <c r="V9" i="2"/>
  <c r="V8" i="2"/>
  <c r="V7" i="2"/>
  <c r="E95" i="31" l="1"/>
  <c r="F95" i="31" s="1"/>
  <c r="H95" i="31"/>
  <c r="I95" i="31" s="1"/>
  <c r="K95" i="31"/>
  <c r="L95" i="31" s="1"/>
  <c r="C1256" i="31"/>
  <c r="C1104" i="31"/>
  <c r="B1083" i="31"/>
  <c r="B1235" i="31"/>
  <c r="B1241" i="31"/>
  <c r="B1089" i="31"/>
  <c r="B1107" i="31"/>
  <c r="B1259" i="31"/>
  <c r="B1113" i="31"/>
  <c r="B1265" i="31"/>
  <c r="B1122" i="31"/>
  <c r="B1274" i="31"/>
  <c r="B1289" i="31"/>
  <c r="B1137" i="31"/>
  <c r="B1155" i="31"/>
  <c r="B1307" i="31"/>
  <c r="B1170" i="31"/>
  <c r="B1322" i="31"/>
  <c r="B1179" i="31"/>
  <c r="B1331" i="31"/>
  <c r="F291" i="31"/>
  <c r="D291" i="31"/>
  <c r="C1077" i="31"/>
  <c r="C1229" i="31"/>
  <c r="C1092" i="31"/>
  <c r="C1244" i="31"/>
  <c r="C1101" i="31"/>
  <c r="C1253" i="31"/>
  <c r="C1116" i="31"/>
  <c r="C1268" i="31"/>
  <c r="C1125" i="31"/>
  <c r="C1277" i="31"/>
  <c r="C1164" i="31"/>
  <c r="C1316" i="31"/>
  <c r="C1173" i="31"/>
  <c r="C1325" i="31"/>
  <c r="B1161" i="31"/>
  <c r="B1313" i="31"/>
  <c r="C1140" i="31"/>
  <c r="C1292" i="31"/>
  <c r="F168" i="31"/>
  <c r="F171" i="31"/>
  <c r="F153" i="31"/>
  <c r="G172" i="31"/>
  <c r="C1089" i="31"/>
  <c r="C1241" i="31"/>
  <c r="C1137" i="31"/>
  <c r="C1289" i="31"/>
  <c r="C1232" i="31"/>
  <c r="C1080" i="31"/>
  <c r="B1131" i="31"/>
  <c r="B1283" i="31"/>
  <c r="C1149" i="31"/>
  <c r="C1301" i="31"/>
  <c r="H8" i="31"/>
  <c r="L175" i="31"/>
  <c r="F129" i="31"/>
  <c r="F134" i="31"/>
  <c r="C1280" i="31"/>
  <c r="C1128" i="31"/>
  <c r="C1328" i="31"/>
  <c r="C1176" i="31"/>
  <c r="C414" i="31"/>
  <c r="C412" i="31"/>
  <c r="C413" i="31"/>
  <c r="C1134" i="31"/>
  <c r="C1286" i="31"/>
  <c r="D883" i="31"/>
  <c r="F883" i="31"/>
  <c r="B1098" i="31"/>
  <c r="B1250" i="31"/>
  <c r="B1146" i="31"/>
  <c r="B1298" i="31"/>
  <c r="F112" i="31"/>
  <c r="K175" i="31"/>
  <c r="F165" i="31"/>
  <c r="B1077" i="31"/>
  <c r="B1229" i="31"/>
  <c r="B1080" i="31"/>
  <c r="B1232" i="31"/>
  <c r="B1086" i="31"/>
  <c r="B1238" i="31"/>
  <c r="B1092" i="31"/>
  <c r="B1244" i="31"/>
  <c r="B1095" i="31"/>
  <c r="B1247" i="31"/>
  <c r="B1101" i="31"/>
  <c r="B1253" i="31"/>
  <c r="B1104" i="31"/>
  <c r="B1256" i="31"/>
  <c r="B1110" i="31"/>
  <c r="B1262" i="31"/>
  <c r="B1119" i="31"/>
  <c r="B1271" i="31"/>
  <c r="B1125" i="31"/>
  <c r="B1277" i="31"/>
  <c r="B1128" i="31"/>
  <c r="B1280" i="31"/>
  <c r="B1134" i="31"/>
  <c r="B1286" i="31"/>
  <c r="B1140" i="31"/>
  <c r="B1292" i="31"/>
  <c r="B1143" i="31"/>
  <c r="B1295" i="31"/>
  <c r="B1149" i="31"/>
  <c r="B1301" i="31"/>
  <c r="B1152" i="31"/>
  <c r="B1304" i="31"/>
  <c r="B1158" i="31"/>
  <c r="B1310" i="31"/>
  <c r="B1167" i="31"/>
  <c r="B1319" i="31"/>
  <c r="B1173" i="31"/>
  <c r="B1325" i="31"/>
  <c r="B1176" i="31"/>
  <c r="B1328" i="31"/>
  <c r="C1113" i="31"/>
  <c r="C1265" i="31"/>
  <c r="C1161" i="31"/>
  <c r="C1313" i="31"/>
  <c r="C1098" i="31"/>
  <c r="C1250" i="31"/>
  <c r="B1268" i="31"/>
  <c r="F138" i="31"/>
  <c r="F167" i="31"/>
  <c r="C1122" i="31"/>
  <c r="C1274" i="31"/>
  <c r="C1146" i="31"/>
  <c r="C1298" i="31"/>
  <c r="C1170" i="31"/>
  <c r="C1322" i="31"/>
  <c r="C1304" i="31"/>
  <c r="C1152" i="31"/>
  <c r="C1158" i="31"/>
  <c r="C1310" i="31"/>
  <c r="B1316" i="31"/>
  <c r="F149" i="31"/>
  <c r="G169" i="31"/>
  <c r="G175" i="31" s="1"/>
  <c r="G186" i="31"/>
  <c r="C1083" i="31"/>
  <c r="C1235" i="31"/>
  <c r="C1095" i="31"/>
  <c r="C1247" i="31"/>
  <c r="C1110" i="31"/>
  <c r="C1262" i="31"/>
  <c r="C1131" i="31"/>
  <c r="C1283" i="31"/>
  <c r="C1155" i="31"/>
  <c r="C1307" i="31"/>
  <c r="C1167" i="31"/>
  <c r="C1319" i="31"/>
  <c r="C1179" i="31"/>
  <c r="C1331" i="31"/>
  <c r="C411" i="31"/>
  <c r="C1223" i="31"/>
  <c r="C1224" i="31"/>
  <c r="C1225" i="31"/>
  <c r="C1086" i="31"/>
  <c r="C1238" i="31"/>
  <c r="C1107" i="31"/>
  <c r="C1259" i="31"/>
  <c r="C1119" i="31"/>
  <c r="C1271" i="31"/>
  <c r="C1143" i="31"/>
  <c r="C1295" i="31"/>
  <c r="F157" i="31"/>
  <c r="D230" i="31"/>
  <c r="C350" i="31"/>
  <c r="C601" i="31"/>
  <c r="C603" i="31"/>
  <c r="C728" i="31"/>
  <c r="C882" i="31"/>
  <c r="C1073" i="31"/>
  <c r="G601" i="31"/>
  <c r="E601" i="31"/>
  <c r="C599" i="31"/>
  <c r="C597" i="31"/>
  <c r="D671" i="31"/>
  <c r="C604" i="31"/>
  <c r="C598" i="31"/>
  <c r="C733" i="31"/>
  <c r="C1070" i="31"/>
  <c r="C1069" i="31"/>
  <c r="C730" i="31"/>
  <c r="C729" i="31"/>
  <c r="C732" i="31"/>
  <c r="C884" i="31"/>
  <c r="C1071" i="31"/>
  <c r="C1072" i="31"/>
  <c r="C1068" i="31"/>
  <c r="V10" i="2"/>
  <c r="V30" i="2"/>
  <c r="H100" i="31" l="1"/>
  <c r="I100" i="31" s="1"/>
  <c r="K100" i="31"/>
  <c r="L100" i="31" s="1"/>
  <c r="E100" i="31"/>
  <c r="F100" i="31" s="1"/>
  <c r="E98" i="31"/>
  <c r="F98" i="31" s="1"/>
  <c r="K98" i="31"/>
  <c r="L98" i="31" s="1"/>
  <c r="H98" i="31"/>
  <c r="I98" i="31" s="1"/>
  <c r="K99" i="31"/>
  <c r="L99" i="31" s="1"/>
  <c r="E99" i="31"/>
  <c r="F99" i="31" s="1"/>
  <c r="H99" i="31"/>
  <c r="I99" i="31" s="1"/>
  <c r="F1073" i="31"/>
  <c r="D1073" i="31"/>
  <c r="D411" i="31"/>
  <c r="F411" i="31"/>
  <c r="F412" i="31"/>
  <c r="D412" i="31"/>
  <c r="C667" i="31"/>
  <c r="C666" i="31"/>
  <c r="C665" i="31"/>
  <c r="C664" i="31"/>
  <c r="C668" i="31"/>
  <c r="F1223" i="31"/>
  <c r="D1223" i="31"/>
  <c r="F414" i="31"/>
  <c r="D414" i="31"/>
  <c r="D1072" i="31"/>
  <c r="F1072" i="31"/>
  <c r="F1071" i="31"/>
  <c r="D1071" i="31"/>
  <c r="F597" i="31"/>
  <c r="D597" i="31"/>
  <c r="G191" i="31"/>
  <c r="I8" i="31"/>
  <c r="H20" i="31"/>
  <c r="D1068" i="31"/>
  <c r="F1068" i="31"/>
  <c r="F1070" i="31"/>
  <c r="D1070" i="31"/>
  <c r="D1224" i="31"/>
  <c r="F1224" i="31"/>
  <c r="F1069" i="31"/>
  <c r="D1069" i="31"/>
  <c r="F1225" i="31"/>
  <c r="D1225" i="31"/>
  <c r="F175" i="31"/>
  <c r="F413" i="31"/>
  <c r="D413" i="31"/>
  <c r="I20" i="31" l="1"/>
  <c r="J8" i="31"/>
  <c r="K8" i="31" l="1"/>
  <c r="J20" i="31"/>
  <c r="K20" i="31" l="1"/>
  <c r="L8" i="31"/>
  <c r="M8" i="31" l="1"/>
  <c r="L20" i="31"/>
  <c r="M20" i="31" l="1"/>
  <c r="N8" i="31"/>
  <c r="O8" i="31" l="1"/>
  <c r="N20" i="31"/>
  <c r="P8" i="31" l="1"/>
  <c r="O20" i="31"/>
  <c r="Q8" i="31" l="1"/>
  <c r="P20" i="31"/>
  <c r="Q20" i="31" l="1"/>
  <c r="R8" i="31"/>
  <c r="R20" i="31" l="1"/>
  <c r="S8" i="31"/>
  <c r="S20" i="31" l="1"/>
  <c r="T8" i="31"/>
  <c r="U8" i="31" l="1"/>
  <c r="T20" i="31"/>
  <c r="U20" i="31" l="1"/>
  <c r="V8" i="31"/>
  <c r="W8" i="31" l="1"/>
  <c r="V20" i="31"/>
  <c r="W20" i="31" l="1"/>
  <c r="X8" i="31"/>
  <c r="Y8" i="31" l="1"/>
  <c r="X20" i="31"/>
  <c r="Y20" i="31" l="1"/>
  <c r="Z8" i="31"/>
  <c r="AA8" i="31" l="1"/>
  <c r="Z20" i="31"/>
  <c r="AA20" i="31" l="1"/>
  <c r="AB8" i="31"/>
  <c r="AC8" i="31" l="1"/>
  <c r="AB20" i="31"/>
  <c r="AC20" i="31" l="1"/>
  <c r="AD8" i="31"/>
  <c r="AE8" i="31" l="1"/>
  <c r="AD20" i="31"/>
  <c r="AF8" i="31" l="1"/>
  <c r="AE20" i="31"/>
  <c r="AG8" i="31" l="1"/>
  <c r="AF20" i="31"/>
  <c r="AG20" i="31" l="1"/>
  <c r="AH8" i="31"/>
  <c r="AH20" i="31" l="1"/>
  <c r="AI8" i="31"/>
  <c r="AI20" i="31" l="1"/>
  <c r="AJ8" i="31"/>
  <c r="E42" i="1"/>
  <c r="F42" i="1"/>
  <c r="G42" i="1"/>
  <c r="H42" i="1"/>
  <c r="AK8" i="31" l="1"/>
  <c r="AJ20" i="31"/>
  <c r="S21" i="1"/>
  <c r="D21" i="1"/>
  <c r="E21" i="1"/>
  <c r="F21" i="1"/>
  <c r="G21" i="1"/>
  <c r="H21" i="1"/>
  <c r="I21" i="1"/>
  <c r="J21" i="1"/>
  <c r="K21" i="1"/>
  <c r="L21" i="1"/>
  <c r="M21" i="1"/>
  <c r="N21" i="1"/>
  <c r="O21" i="1"/>
  <c r="P21" i="1"/>
  <c r="Q21" i="1"/>
  <c r="R21" i="1"/>
  <c r="AK20" i="31" l="1"/>
  <c r="AL8" i="31"/>
  <c r="H49" i="2"/>
  <c r="I49" i="2"/>
  <c r="H50" i="2"/>
  <c r="I50" i="2"/>
  <c r="H51" i="2"/>
  <c r="I51" i="2"/>
  <c r="H52" i="2"/>
  <c r="I52" i="2"/>
  <c r="H53" i="2"/>
  <c r="I53" i="2"/>
  <c r="H54" i="2"/>
  <c r="I54" i="2"/>
  <c r="H55" i="2"/>
  <c r="I55" i="2"/>
  <c r="H56" i="2"/>
  <c r="I56" i="2"/>
  <c r="H57" i="2"/>
  <c r="I57" i="2"/>
  <c r="H58" i="2"/>
  <c r="I58" i="2"/>
  <c r="H59" i="2"/>
  <c r="I59" i="2"/>
  <c r="H60" i="2"/>
  <c r="I60" i="2"/>
  <c r="H61" i="2"/>
  <c r="I61" i="2"/>
  <c r="H62" i="2"/>
  <c r="I62" i="2"/>
  <c r="H63" i="2"/>
  <c r="I63" i="2"/>
  <c r="H64" i="2"/>
  <c r="I64" i="2"/>
  <c r="H65" i="2"/>
  <c r="I65" i="2"/>
  <c r="H66" i="2"/>
  <c r="I66" i="2"/>
  <c r="H67" i="2"/>
  <c r="I67" i="2"/>
  <c r="H45" i="2"/>
  <c r="I45" i="2"/>
  <c r="H46" i="2"/>
  <c r="I46" i="2"/>
  <c r="H47" i="2"/>
  <c r="I47" i="2"/>
  <c r="H10" i="2"/>
  <c r="H30" i="2" s="1"/>
  <c r="I10" i="2"/>
  <c r="I31" i="2" s="1"/>
  <c r="I30" i="2"/>
  <c r="AM8" i="31" l="1"/>
  <c r="AL20" i="31"/>
  <c r="H31" i="2"/>
  <c r="H33" i="2" s="1"/>
  <c r="H48" i="2"/>
  <c r="H68" i="2" s="1"/>
  <c r="I48" i="2"/>
  <c r="I68" i="2" s="1"/>
  <c r="I33" i="2"/>
  <c r="I37" i="2" s="1"/>
  <c r="AN8" i="31" l="1"/>
  <c r="AM20" i="31"/>
  <c r="I34" i="2"/>
  <c r="I35" i="2" s="1"/>
  <c r="I39" i="2" s="1"/>
  <c r="H37" i="2"/>
  <c r="H34" i="2"/>
  <c r="H35" i="2" s="1"/>
  <c r="I38" i="2"/>
  <c r="AN20" i="31" l="1"/>
  <c r="AO8" i="31"/>
  <c r="H39" i="2"/>
  <c r="H26" i="7"/>
  <c r="H38" i="2"/>
  <c r="AO20" i="31" l="1"/>
  <c r="AP8" i="31"/>
  <c r="H44" i="2"/>
  <c r="D7" i="9"/>
  <c r="D8" i="9"/>
  <c r="D9" i="9"/>
  <c r="D10" i="9"/>
  <c r="D11" i="9"/>
  <c r="D12" i="9"/>
  <c r="D13" i="9"/>
  <c r="D14" i="9"/>
  <c r="D15" i="9"/>
  <c r="D16" i="9"/>
  <c r="D17" i="9"/>
  <c r="D18" i="9"/>
  <c r="D19" i="9"/>
  <c r="D20" i="9"/>
  <c r="D21" i="9"/>
  <c r="D6" i="9"/>
  <c r="D25" i="7"/>
  <c r="C25" i="1"/>
  <c r="C26" i="1" s="1"/>
  <c r="D6" i="2"/>
  <c r="G6" i="2" s="1"/>
  <c r="G44" i="2" s="1"/>
  <c r="AP20" i="31" l="1"/>
  <c r="AQ8" i="31"/>
  <c r="AI25" i="7"/>
  <c r="AM25" i="7"/>
  <c r="AQ25" i="7"/>
  <c r="AJ25" i="7"/>
  <c r="AN25" i="7"/>
  <c r="AG25" i="7"/>
  <c r="AK25" i="7"/>
  <c r="AO25" i="7"/>
  <c r="AL25" i="7"/>
  <c r="AP25" i="7"/>
  <c r="AH25" i="7"/>
  <c r="I101" i="31"/>
  <c r="C25" i="31" s="1"/>
  <c r="F101" i="31"/>
  <c r="C13" i="31" s="1"/>
  <c r="L101" i="31"/>
  <c r="D25" i="31" s="1"/>
  <c r="D11" i="2"/>
  <c r="E12" i="2"/>
  <c r="F13" i="2"/>
  <c r="G14" i="2"/>
  <c r="E16" i="2"/>
  <c r="F17" i="2"/>
  <c r="G18" i="2"/>
  <c r="E20" i="2"/>
  <c r="F21" i="2"/>
  <c r="G22" i="2"/>
  <c r="E24" i="2"/>
  <c r="F25" i="2"/>
  <c r="G26" i="2"/>
  <c r="E28" i="2"/>
  <c r="F29" i="2"/>
  <c r="D14" i="2"/>
  <c r="D18" i="2"/>
  <c r="D22" i="2"/>
  <c r="D26" i="2"/>
  <c r="E7" i="2"/>
  <c r="F8" i="2"/>
  <c r="G9" i="2"/>
  <c r="F16" i="2"/>
  <c r="E19" i="2"/>
  <c r="E23" i="2"/>
  <c r="F24" i="2"/>
  <c r="E27" i="2"/>
  <c r="G29" i="2"/>
  <c r="D15" i="2"/>
  <c r="D23" i="2"/>
  <c r="F7" i="2"/>
  <c r="D8" i="2"/>
  <c r="E13" i="2"/>
  <c r="E17" i="2"/>
  <c r="E21" i="2"/>
  <c r="E25" i="2"/>
  <c r="E29" i="2"/>
  <c r="D21" i="2"/>
  <c r="E8" i="2"/>
  <c r="F9" i="2"/>
  <c r="K48" i="31"/>
  <c r="D23" i="31" s="1"/>
  <c r="E11" i="2"/>
  <c r="F12" i="2"/>
  <c r="G13" i="2"/>
  <c r="E15" i="2"/>
  <c r="G17" i="2"/>
  <c r="F20" i="2"/>
  <c r="G21" i="2"/>
  <c r="G25" i="2"/>
  <c r="F28" i="2"/>
  <c r="D19" i="2"/>
  <c r="D27" i="2"/>
  <c r="G8" i="2"/>
  <c r="F14" i="2"/>
  <c r="F18" i="2"/>
  <c r="F22" i="2"/>
  <c r="F26" i="2"/>
  <c r="D13" i="2"/>
  <c r="D25" i="2"/>
  <c r="D7" i="2"/>
  <c r="H48" i="31"/>
  <c r="C23" i="31" s="1"/>
  <c r="I23" i="31" s="1"/>
  <c r="G21" i="3" s="1"/>
  <c r="F11" i="2"/>
  <c r="G12" i="2"/>
  <c r="E14" i="2"/>
  <c r="F15" i="2"/>
  <c r="G16" i="2"/>
  <c r="E18" i="2"/>
  <c r="F19" i="2"/>
  <c r="G20" i="2"/>
  <c r="E22" i="2"/>
  <c r="F23" i="2"/>
  <c r="G24" i="2"/>
  <c r="E26" i="2"/>
  <c r="F27" i="2"/>
  <c r="G28" i="2"/>
  <c r="D12" i="2"/>
  <c r="D16" i="2"/>
  <c r="D20" i="2"/>
  <c r="D24" i="2"/>
  <c r="D28" i="2"/>
  <c r="G7" i="2"/>
  <c r="E9" i="2"/>
  <c r="D9" i="2"/>
  <c r="E48" i="31"/>
  <c r="C11" i="31" s="1"/>
  <c r="F11" i="31" s="1"/>
  <c r="G11" i="2"/>
  <c r="G15" i="2"/>
  <c r="G19" i="2"/>
  <c r="G23" i="2"/>
  <c r="G27" i="2"/>
  <c r="D17" i="2"/>
  <c r="D29" i="2"/>
  <c r="D44" i="2"/>
  <c r="C27" i="1"/>
  <c r="C183" i="1" s="1"/>
  <c r="F6" i="2"/>
  <c r="F44" i="2" s="1"/>
  <c r="AQ20" i="31" l="1"/>
  <c r="AR8" i="31"/>
  <c r="AK23" i="31"/>
  <c r="AI21" i="3" s="1"/>
  <c r="AO23" i="31"/>
  <c r="AM21" i="3" s="1"/>
  <c r="AS23" i="31"/>
  <c r="AQ21" i="3" s="1"/>
  <c r="AN23" i="31"/>
  <c r="AL21" i="3" s="1"/>
  <c r="AL23" i="31"/>
  <c r="AJ21" i="3" s="1"/>
  <c r="AP23" i="31"/>
  <c r="AN21" i="3" s="1"/>
  <c r="AJ23" i="31"/>
  <c r="AH21" i="3" s="1"/>
  <c r="AR23" i="31"/>
  <c r="AP21" i="3" s="1"/>
  <c r="AM23" i="31"/>
  <c r="AK21" i="3" s="1"/>
  <c r="AQ23" i="31"/>
  <c r="AO21" i="3" s="1"/>
  <c r="Z23" i="31"/>
  <c r="X21" i="3" s="1"/>
  <c r="J23" i="31"/>
  <c r="H21" i="3" s="1"/>
  <c r="U23" i="31"/>
  <c r="S21" i="3" s="1"/>
  <c r="W23" i="31"/>
  <c r="U21" i="3" s="1"/>
  <c r="T23" i="31"/>
  <c r="R21" i="3" s="1"/>
  <c r="S23" i="31"/>
  <c r="Q21" i="3" s="1"/>
  <c r="V23" i="31"/>
  <c r="T21" i="3" s="1"/>
  <c r="AG23" i="31"/>
  <c r="AE21" i="3" s="1"/>
  <c r="Q23" i="31"/>
  <c r="O21" i="3" s="1"/>
  <c r="O23" i="31"/>
  <c r="M21" i="3" s="1"/>
  <c r="L23" i="31"/>
  <c r="J21" i="3" s="1"/>
  <c r="K23" i="31"/>
  <c r="I21" i="3" s="1"/>
  <c r="AD23" i="31"/>
  <c r="AB21" i="3" s="1"/>
  <c r="Y23" i="31"/>
  <c r="W21" i="3" s="1"/>
  <c r="AB23" i="31"/>
  <c r="Z21" i="3" s="1"/>
  <c r="X23" i="31"/>
  <c r="V21" i="3" s="1"/>
  <c r="AH23" i="31"/>
  <c r="AF21" i="3" s="1"/>
  <c r="R23" i="31"/>
  <c r="P21" i="3" s="1"/>
  <c r="AC23" i="31"/>
  <c r="AA21" i="3" s="1"/>
  <c r="M23" i="31"/>
  <c r="K21" i="3" s="1"/>
  <c r="P23" i="31"/>
  <c r="N21" i="3" s="1"/>
  <c r="AI23" i="31"/>
  <c r="AG21" i="3" s="1"/>
  <c r="AF23" i="31"/>
  <c r="AD21" i="3" s="1"/>
  <c r="N23" i="31"/>
  <c r="L21" i="3" s="1"/>
  <c r="AE23" i="31"/>
  <c r="AC21" i="3" s="1"/>
  <c r="AA23" i="31"/>
  <c r="Y21" i="3" s="1"/>
  <c r="D9" i="3"/>
  <c r="F23" i="31"/>
  <c r="G11" i="31"/>
  <c r="AK25" i="31"/>
  <c r="AO25" i="31"/>
  <c r="AS25" i="31"/>
  <c r="AR25" i="31"/>
  <c r="AL25" i="31"/>
  <c r="AP25" i="31"/>
  <c r="AJ25" i="31"/>
  <c r="AN25" i="31"/>
  <c r="AM25" i="31"/>
  <c r="AQ25" i="31"/>
  <c r="AB25" i="31"/>
  <c r="N25" i="31"/>
  <c r="P25" i="31"/>
  <c r="X25" i="31"/>
  <c r="AH25" i="31"/>
  <c r="R25" i="31"/>
  <c r="U25" i="31"/>
  <c r="K25" i="31"/>
  <c r="L25" i="31"/>
  <c r="J25" i="31"/>
  <c r="AA25" i="31"/>
  <c r="AI25" i="31"/>
  <c r="V25" i="31"/>
  <c r="T25" i="31"/>
  <c r="Z25" i="31"/>
  <c r="Q25" i="31"/>
  <c r="AF25" i="31"/>
  <c r="AG25" i="31"/>
  <c r="D26" i="31"/>
  <c r="AD25" i="31"/>
  <c r="Y25" i="31"/>
  <c r="O25" i="31"/>
  <c r="W25" i="31"/>
  <c r="M25" i="31"/>
  <c r="S25" i="31"/>
  <c r="AE25" i="31"/>
  <c r="AC25" i="31"/>
  <c r="C26" i="31"/>
  <c r="I25" i="31"/>
  <c r="C14" i="31"/>
  <c r="F13" i="31"/>
  <c r="D142" i="1"/>
  <c r="C333" i="1"/>
  <c r="B95" i="1"/>
  <c r="B877" i="31" s="1"/>
  <c r="C290" i="1"/>
  <c r="C85" i="1"/>
  <c r="C658" i="31" s="1"/>
  <c r="C232" i="1"/>
  <c r="AA213" i="1"/>
  <c r="C338" i="1"/>
  <c r="C307" i="1"/>
  <c r="C340" i="1"/>
  <c r="D62" i="1"/>
  <c r="D346" i="31" s="1"/>
  <c r="D108" i="1"/>
  <c r="D1217" i="31" s="1"/>
  <c r="C342" i="1"/>
  <c r="C335" i="1"/>
  <c r="C240" i="1"/>
  <c r="C130" i="1"/>
  <c r="C69" i="1"/>
  <c r="C406" i="31" s="1"/>
  <c r="C344" i="1"/>
  <c r="C186" i="1"/>
  <c r="E103" i="1"/>
  <c r="E1063" i="31" s="1"/>
  <c r="D56" i="1"/>
  <c r="D287" i="31" s="1"/>
  <c r="D154" i="1"/>
  <c r="C239" i="1"/>
  <c r="C90" i="1"/>
  <c r="C721" i="31" s="1"/>
  <c r="C345" i="1"/>
  <c r="C336" i="1"/>
  <c r="C101" i="1"/>
  <c r="C1061" i="31" s="1"/>
  <c r="C47" i="1"/>
  <c r="C223" i="31" s="1"/>
  <c r="E109" i="1"/>
  <c r="E1218" i="31" s="1"/>
  <c r="C339" i="1"/>
  <c r="V213" i="1"/>
  <c r="C108" i="1"/>
  <c r="C1217" i="31" s="1"/>
  <c r="D69" i="1"/>
  <c r="D406" i="31" s="1"/>
  <c r="C281" i="1"/>
  <c r="D152" i="1"/>
  <c r="B90" i="1"/>
  <c r="B721" i="31" s="1"/>
  <c r="D47" i="1"/>
  <c r="D223" i="31" s="1"/>
  <c r="D48" i="1"/>
  <c r="D224" i="31" s="1"/>
  <c r="C291" i="1"/>
  <c r="C100" i="1"/>
  <c r="C1060" i="31" s="1"/>
  <c r="C137" i="1"/>
  <c r="D70" i="1"/>
  <c r="D407" i="31" s="1"/>
  <c r="C236" i="1"/>
  <c r="C282" i="1"/>
  <c r="C146" i="1"/>
  <c r="C184" i="1"/>
  <c r="C343" i="1"/>
  <c r="C181" i="1"/>
  <c r="D102" i="1"/>
  <c r="D1062" i="31" s="1"/>
  <c r="D61" i="1"/>
  <c r="D345" i="31" s="1"/>
  <c r="C289" i="1"/>
  <c r="C145" i="1"/>
  <c r="F90" i="1"/>
  <c r="F721" i="31" s="1"/>
  <c r="C56" i="1"/>
  <c r="C287" i="31" s="1"/>
  <c r="C55" i="1"/>
  <c r="C286" i="31" s="1"/>
  <c r="C346" i="1"/>
  <c r="C49" i="1"/>
  <c r="C225" i="31" s="1"/>
  <c r="C180" i="1"/>
  <c r="E85" i="1"/>
  <c r="E658" i="31" s="1"/>
  <c r="C68" i="1"/>
  <c r="C405" i="31" s="1"/>
  <c r="C48" i="1"/>
  <c r="C224" i="31" s="1"/>
  <c r="E154" i="1"/>
  <c r="C235" i="1"/>
  <c r="C347" i="1"/>
  <c r="C185" i="1"/>
  <c r="E102" i="1"/>
  <c r="E1062" i="31" s="1"/>
  <c r="D55" i="1"/>
  <c r="D286" i="31" s="1"/>
  <c r="D287" i="1"/>
  <c r="D143" i="1"/>
  <c r="D84" i="1"/>
  <c r="D657" i="31" s="1"/>
  <c r="E84" i="1"/>
  <c r="E657" i="31" s="1"/>
  <c r="D67" i="1"/>
  <c r="D404" i="31" s="1"/>
  <c r="C220" i="1"/>
  <c r="C132" i="1"/>
  <c r="C308" i="1"/>
  <c r="C109" i="1"/>
  <c r="C1218" i="31" s="1"/>
  <c r="C234" i="1"/>
  <c r="D146" i="1"/>
  <c r="D145" i="1"/>
  <c r="C334" i="1"/>
  <c r="C61" i="1"/>
  <c r="C345" i="31" s="1"/>
  <c r="C238" i="1"/>
  <c r="D289" i="1"/>
  <c r="C309" i="1"/>
  <c r="F153" i="1"/>
  <c r="D95" i="1"/>
  <c r="D877" i="31" s="1"/>
  <c r="C50" i="1"/>
  <c r="C226" i="31" s="1"/>
  <c r="C237" i="1"/>
  <c r="D147" i="1"/>
  <c r="C78" i="1"/>
  <c r="C590" i="31" s="1"/>
  <c r="D90" i="1"/>
  <c r="D721" i="31" s="1"/>
  <c r="E79" i="1"/>
  <c r="E591" i="31" s="1"/>
  <c r="C62" i="1"/>
  <c r="C346" i="31" s="1"/>
  <c r="C142" i="1"/>
  <c r="C95" i="1"/>
  <c r="C877" i="31" s="1"/>
  <c r="D100" i="1"/>
  <c r="D1060" i="31" s="1"/>
  <c r="C182" i="1"/>
  <c r="C153" i="1"/>
  <c r="C136" i="1"/>
  <c r="C67" i="1"/>
  <c r="C404" i="31" s="1"/>
  <c r="D292" i="1"/>
  <c r="C341" i="1"/>
  <c r="C288" i="1"/>
  <c r="C144" i="1"/>
  <c r="E90" i="1"/>
  <c r="E721" i="31" s="1"/>
  <c r="D50" i="1"/>
  <c r="D226" i="31" s="1"/>
  <c r="E205" i="31" s="1"/>
  <c r="G213" i="1"/>
  <c r="C213" i="1" s="1"/>
  <c r="C131" i="1"/>
  <c r="E78" i="1"/>
  <c r="E590" i="31" s="1"/>
  <c r="E101" i="1"/>
  <c r="E1061" i="31" s="1"/>
  <c r="D78" i="1"/>
  <c r="D590" i="31" s="1"/>
  <c r="C231" i="1"/>
  <c r="D49" i="1"/>
  <c r="D225" i="31" s="1"/>
  <c r="C337" i="1"/>
  <c r="D144" i="1"/>
  <c r="D153" i="1"/>
  <c r="L213" i="1"/>
  <c r="D288" i="1"/>
  <c r="C79" i="1"/>
  <c r="C591" i="31" s="1"/>
  <c r="C152" i="1"/>
  <c r="C28" i="1"/>
  <c r="C29" i="1" s="1"/>
  <c r="C217" i="1"/>
  <c r="C292" i="1"/>
  <c r="C154" i="1"/>
  <c r="E108" i="1"/>
  <c r="E1217" i="31" s="1"/>
  <c r="D79" i="1"/>
  <c r="D591" i="31" s="1"/>
  <c r="C218" i="1"/>
  <c r="D291" i="1"/>
  <c r="E153" i="1"/>
  <c r="C103" i="1"/>
  <c r="C1063" i="31" s="1"/>
  <c r="C73" i="1"/>
  <c r="C467" i="31" s="1"/>
  <c r="D68" i="1"/>
  <c r="D405" i="31" s="1"/>
  <c r="Q213" i="1"/>
  <c r="D109" i="1"/>
  <c r="D1218" i="31" s="1"/>
  <c r="D101" i="1"/>
  <c r="D1061" i="31" s="1"/>
  <c r="D85" i="1"/>
  <c r="D658" i="31" s="1"/>
  <c r="C219" i="1"/>
  <c r="G90" i="1"/>
  <c r="G721" i="31" s="1"/>
  <c r="AF213" i="1"/>
  <c r="AG213" i="1" s="1"/>
  <c r="C143" i="1"/>
  <c r="C221" i="1"/>
  <c r="D290" i="1"/>
  <c r="E152" i="1"/>
  <c r="C102" i="1"/>
  <c r="C1062" i="31" s="1"/>
  <c r="F79" i="1"/>
  <c r="F591" i="31" s="1"/>
  <c r="C222" i="1"/>
  <c r="C233" i="1"/>
  <c r="F154" i="1"/>
  <c r="D103" i="1"/>
  <c r="D1063" i="31" s="1"/>
  <c r="C70" i="1"/>
  <c r="C407" i="31" s="1"/>
  <c r="F78" i="1"/>
  <c r="F590" i="31" s="1"/>
  <c r="C287" i="1"/>
  <c r="C147" i="1"/>
  <c r="F152" i="1"/>
  <c r="E100" i="1"/>
  <c r="E1060" i="31" s="1"/>
  <c r="C84" i="1"/>
  <c r="C657" i="31" s="1"/>
  <c r="C22" i="6"/>
  <c r="AR20" i="31" l="1"/>
  <c r="AS8" i="31"/>
  <c r="AS20" i="31" s="1"/>
  <c r="D1034" i="31"/>
  <c r="D1049" i="31"/>
  <c r="E1049" i="31"/>
  <c r="D1033" i="31"/>
  <c r="D1048" i="31"/>
  <c r="E1048" i="31"/>
  <c r="D565" i="31"/>
  <c r="E565" i="31"/>
  <c r="D534" i="31"/>
  <c r="D198" i="31"/>
  <c r="E216" i="31"/>
  <c r="D216" i="31"/>
  <c r="E560" i="31"/>
  <c r="D560" i="31"/>
  <c r="D529" i="31"/>
  <c r="D561" i="31"/>
  <c r="E561" i="31"/>
  <c r="D530" i="31"/>
  <c r="D552" i="31"/>
  <c r="D583" i="31"/>
  <c r="E583" i="31"/>
  <c r="D577" i="31"/>
  <c r="E577" i="31"/>
  <c r="D546" i="31"/>
  <c r="E572" i="31"/>
  <c r="D572" i="31"/>
  <c r="D541" i="31"/>
  <c r="D189" i="31"/>
  <c r="E207" i="31"/>
  <c r="D207" i="31"/>
  <c r="D573" i="31"/>
  <c r="E573" i="31"/>
  <c r="D542" i="31"/>
  <c r="D1031" i="31"/>
  <c r="D1046" i="31"/>
  <c r="E1046" i="31"/>
  <c r="E582" i="31"/>
  <c r="D582" i="31"/>
  <c r="D551" i="31"/>
  <c r="AC23" i="3"/>
  <c r="AE26" i="31"/>
  <c r="M23" i="3"/>
  <c r="O26" i="31"/>
  <c r="AE23" i="3"/>
  <c r="AG26" i="31"/>
  <c r="R23" i="3"/>
  <c r="T26" i="31"/>
  <c r="H23" i="3"/>
  <c r="J26" i="31"/>
  <c r="P23" i="3"/>
  <c r="R26" i="31"/>
  <c r="L23" i="3"/>
  <c r="N26" i="31"/>
  <c r="AL23" i="3"/>
  <c r="AN26" i="31"/>
  <c r="AP23" i="3"/>
  <c r="AR26" i="31"/>
  <c r="E9" i="3"/>
  <c r="H11" i="31"/>
  <c r="G23" i="31"/>
  <c r="E21" i="3" s="1"/>
  <c r="D580" i="31"/>
  <c r="E580" i="31"/>
  <c r="D549" i="31"/>
  <c r="E562" i="31"/>
  <c r="D531" i="31"/>
  <c r="D562" i="31"/>
  <c r="D1035" i="31"/>
  <c r="D1050" i="31"/>
  <c r="E1050" i="31"/>
  <c r="D528" i="31"/>
  <c r="E559" i="31"/>
  <c r="D559" i="31"/>
  <c r="E584" i="31"/>
  <c r="D584" i="31"/>
  <c r="D553" i="31"/>
  <c r="D570" i="31"/>
  <c r="E570" i="31"/>
  <c r="D539" i="31"/>
  <c r="D209" i="31"/>
  <c r="E209" i="31"/>
  <c r="D191" i="31"/>
  <c r="D205" i="31"/>
  <c r="D187" i="31"/>
  <c r="G23" i="3"/>
  <c r="I26" i="31"/>
  <c r="Q23" i="3"/>
  <c r="S26" i="31"/>
  <c r="W23" i="3"/>
  <c r="Y26" i="31"/>
  <c r="AD23" i="3"/>
  <c r="AF26" i="31"/>
  <c r="T23" i="3"/>
  <c r="V26" i="31"/>
  <c r="J23" i="3"/>
  <c r="L26" i="31"/>
  <c r="AF23" i="3"/>
  <c r="AH26" i="31"/>
  <c r="Z23" i="3"/>
  <c r="AB26" i="31"/>
  <c r="AH23" i="3"/>
  <c r="AJ26" i="31"/>
  <c r="AQ23" i="3"/>
  <c r="AS26" i="31"/>
  <c r="D21" i="3"/>
  <c r="D33" i="3" s="1"/>
  <c r="D45" i="3" s="1"/>
  <c r="E566" i="31"/>
  <c r="D566" i="31"/>
  <c r="D535" i="31"/>
  <c r="D1039" i="31"/>
  <c r="D1054" i="31"/>
  <c r="E1054" i="31"/>
  <c r="D563" i="31"/>
  <c r="D532" i="31"/>
  <c r="E563" i="31"/>
  <c r="D578" i="31"/>
  <c r="D547" i="31"/>
  <c r="E578" i="31"/>
  <c r="E579" i="31"/>
  <c r="D579" i="31"/>
  <c r="D548" i="31"/>
  <c r="D186" i="31"/>
  <c r="E204" i="31"/>
  <c r="D204" i="31"/>
  <c r="E569" i="31"/>
  <c r="D569" i="31"/>
  <c r="D538" i="31"/>
  <c r="K23" i="3"/>
  <c r="M26" i="31"/>
  <c r="AB23" i="3"/>
  <c r="AD26" i="31"/>
  <c r="O23" i="3"/>
  <c r="Q26" i="31"/>
  <c r="AG23" i="3"/>
  <c r="AI26" i="31"/>
  <c r="I23" i="3"/>
  <c r="K26" i="31"/>
  <c r="V23" i="3"/>
  <c r="X26" i="31"/>
  <c r="AO23" i="3"/>
  <c r="AQ26" i="31"/>
  <c r="AN23" i="3"/>
  <c r="AP26" i="31"/>
  <c r="AM23" i="3"/>
  <c r="AO26" i="31"/>
  <c r="E568" i="31"/>
  <c r="D537" i="31"/>
  <c r="D568" i="31"/>
  <c r="D571" i="31"/>
  <c r="E571" i="31"/>
  <c r="D540" i="31"/>
  <c r="D196" i="31"/>
  <c r="E214" i="31"/>
  <c r="D214" i="31"/>
  <c r="D193" i="31"/>
  <c r="E211" i="31"/>
  <c r="D211" i="31"/>
  <c r="D1032" i="31"/>
  <c r="D1047" i="31"/>
  <c r="E1047" i="31"/>
  <c r="E564" i="31"/>
  <c r="D533" i="31"/>
  <c r="D564" i="31"/>
  <c r="D195" i="31"/>
  <c r="E213" i="31"/>
  <c r="D213" i="31"/>
  <c r="D194" i="31"/>
  <c r="D212" i="31"/>
  <c r="E212" i="31"/>
  <c r="D1030" i="31"/>
  <c r="D1045" i="31"/>
  <c r="E1045" i="31"/>
  <c r="E575" i="31"/>
  <c r="D575" i="31"/>
  <c r="D544" i="31"/>
  <c r="D1037" i="31"/>
  <c r="D1052" i="31"/>
  <c r="E1052" i="31"/>
  <c r="D576" i="31"/>
  <c r="E576" i="31"/>
  <c r="D545" i="31"/>
  <c r="D1038" i="31"/>
  <c r="E1053" i="31"/>
  <c r="D1053" i="31"/>
  <c r="D11" i="3"/>
  <c r="D12" i="3" s="1"/>
  <c r="F25" i="31"/>
  <c r="F14" i="31"/>
  <c r="G13" i="31"/>
  <c r="AA23" i="3"/>
  <c r="AC26" i="31"/>
  <c r="U23" i="3"/>
  <c r="W26" i="31"/>
  <c r="X23" i="3"/>
  <c r="Z26" i="31"/>
  <c r="Y23" i="3"/>
  <c r="AA26" i="31"/>
  <c r="S23" i="3"/>
  <c r="U26" i="31"/>
  <c r="N23" i="3"/>
  <c r="P26" i="31"/>
  <c r="AK23" i="3"/>
  <c r="AM26" i="31"/>
  <c r="AJ23" i="3"/>
  <c r="AL26" i="31"/>
  <c r="AI23" i="3"/>
  <c r="AK26" i="31"/>
  <c r="AP213" i="1"/>
  <c r="C30" i="1"/>
  <c r="C31" i="1" s="1"/>
  <c r="C32" i="1" s="1"/>
  <c r="C33" i="1" s="1"/>
  <c r="C34" i="1" s="1"/>
  <c r="C35" i="1" s="1"/>
  <c r="C36" i="1" s="1"/>
  <c r="C37" i="1" s="1"/>
  <c r="C38" i="1" s="1"/>
  <c r="C39" i="1" s="1"/>
  <c r="G66" i="2"/>
  <c r="G47" i="2"/>
  <c r="G67" i="2"/>
  <c r="G64" i="2"/>
  <c r="G65" i="2"/>
  <c r="AK213" i="1"/>
  <c r="AH213" i="1"/>
  <c r="AL213" i="1"/>
  <c r="AO213" i="1"/>
  <c r="AI213" i="1"/>
  <c r="AM213" i="1"/>
  <c r="AN213" i="1"/>
  <c r="AJ213" i="1"/>
  <c r="F16" i="9"/>
  <c r="G16" i="9" s="1"/>
  <c r="E1055" i="31" l="1"/>
  <c r="D217" i="31"/>
  <c r="D23" i="3"/>
  <c r="F26" i="31"/>
  <c r="AN24" i="3"/>
  <c r="AG24" i="3"/>
  <c r="AP24" i="3"/>
  <c r="AK24" i="3"/>
  <c r="D1055" i="31"/>
  <c r="D585" i="31"/>
  <c r="C21" i="31" s="1"/>
  <c r="F9" i="3"/>
  <c r="H23" i="31"/>
  <c r="F21" i="3" s="1"/>
  <c r="I11" i="31"/>
  <c r="D1040" i="31"/>
  <c r="D199" i="31"/>
  <c r="E585" i="31"/>
  <c r="AL24" i="3"/>
  <c r="AI24" i="3"/>
  <c r="E217" i="31"/>
  <c r="E23" i="31"/>
  <c r="AH24" i="3"/>
  <c r="AJ24" i="3"/>
  <c r="E11" i="3"/>
  <c r="G14" i="31"/>
  <c r="H13" i="31"/>
  <c r="G25" i="31"/>
  <c r="AM24" i="3"/>
  <c r="AO24" i="3"/>
  <c r="AQ24" i="3"/>
  <c r="D554" i="31"/>
  <c r="G51" i="2"/>
  <c r="G58" i="2"/>
  <c r="G60" i="2"/>
  <c r="G63" i="2"/>
  <c r="G61" i="2"/>
  <c r="G54" i="2"/>
  <c r="G57" i="2"/>
  <c r="G52" i="2"/>
  <c r="G59" i="2"/>
  <c r="G53" i="2"/>
  <c r="G50" i="2"/>
  <c r="G46" i="2"/>
  <c r="G56" i="2"/>
  <c r="G45" i="2"/>
  <c r="G55" i="2"/>
  <c r="G10" i="2"/>
  <c r="G31" i="2" s="1"/>
  <c r="G49" i="2"/>
  <c r="G62" i="2"/>
  <c r="E33" i="3"/>
  <c r="E45" i="3" s="1"/>
  <c r="D183" i="1"/>
  <c r="E183" i="1" s="1"/>
  <c r="F183" i="1" s="1"/>
  <c r="G183" i="1" s="1"/>
  <c r="H183" i="1" s="1"/>
  <c r="I183" i="1" s="1"/>
  <c r="J183" i="1" s="1"/>
  <c r="K183" i="1" s="1"/>
  <c r="L183" i="1" s="1"/>
  <c r="M183" i="1" s="1"/>
  <c r="N183" i="1" s="1"/>
  <c r="O183" i="1" s="1"/>
  <c r="P183" i="1" s="1"/>
  <c r="Q183" i="1" s="1"/>
  <c r="R183" i="1" s="1"/>
  <c r="S183" i="1" s="1"/>
  <c r="T183" i="1" s="1"/>
  <c r="U183" i="1" s="1"/>
  <c r="V183" i="1" s="1"/>
  <c r="W183" i="1" s="1"/>
  <c r="X183" i="1" s="1"/>
  <c r="Y183" i="1" s="1"/>
  <c r="Z183" i="1" s="1"/>
  <c r="AA183" i="1" s="1"/>
  <c r="AB183" i="1" s="1"/>
  <c r="AC183" i="1" s="1"/>
  <c r="AD183" i="1" s="1"/>
  <c r="AE183" i="1" s="1"/>
  <c r="AF183" i="1" s="1"/>
  <c r="AG183" i="1" s="1"/>
  <c r="AH183" i="1" s="1"/>
  <c r="AI183" i="1" s="1"/>
  <c r="AJ183" i="1" s="1"/>
  <c r="AK183" i="1" s="1"/>
  <c r="AL183" i="1" s="1"/>
  <c r="AM183" i="1" s="1"/>
  <c r="AN183" i="1" s="1"/>
  <c r="AO183" i="1" s="1"/>
  <c r="AP183" i="1" s="1"/>
  <c r="C24" i="31" l="1"/>
  <c r="C27" i="31" s="1"/>
  <c r="I21" i="31"/>
  <c r="F11" i="3"/>
  <c r="I13" i="31"/>
  <c r="H25" i="31"/>
  <c r="H14" i="31"/>
  <c r="C9" i="31"/>
  <c r="G9" i="3"/>
  <c r="G33" i="3" s="1"/>
  <c r="G45" i="3" s="1"/>
  <c r="J11" i="31"/>
  <c r="E23" i="3"/>
  <c r="G26" i="31"/>
  <c r="D21" i="31"/>
  <c r="G30" i="2"/>
  <c r="G33" i="2" s="1"/>
  <c r="G34" i="2" s="1"/>
  <c r="G35" i="2" s="1"/>
  <c r="G26" i="7" s="1"/>
  <c r="G48" i="2"/>
  <c r="G68" i="2" s="1"/>
  <c r="G7" i="19" s="1"/>
  <c r="D131" i="1"/>
  <c r="E131" i="1" s="1"/>
  <c r="F131" i="1" s="1"/>
  <c r="G131" i="1" s="1"/>
  <c r="H131" i="1" s="1"/>
  <c r="I131" i="1" s="1"/>
  <c r="J131" i="1" s="1"/>
  <c r="K131" i="1" s="1"/>
  <c r="L131" i="1" s="1"/>
  <c r="M131" i="1" s="1"/>
  <c r="N131" i="1" s="1"/>
  <c r="O131" i="1" s="1"/>
  <c r="P131" i="1" s="1"/>
  <c r="Q131" i="1" s="1"/>
  <c r="R131" i="1" s="1"/>
  <c r="S131" i="1" s="1"/>
  <c r="T131" i="1" s="1"/>
  <c r="U131" i="1" s="1"/>
  <c r="V131" i="1" s="1"/>
  <c r="W131" i="1" s="1"/>
  <c r="K11" i="31" l="1"/>
  <c r="H9" i="3"/>
  <c r="G11" i="3"/>
  <c r="J13" i="31"/>
  <c r="I14" i="31"/>
  <c r="G7" i="6"/>
  <c r="X21" i="31"/>
  <c r="AM21" i="31"/>
  <c r="AQ21" i="31"/>
  <c r="AP21" i="31"/>
  <c r="AJ21" i="31"/>
  <c r="AN21" i="31"/>
  <c r="AR21" i="31"/>
  <c r="AL21" i="31"/>
  <c r="AK21" i="31"/>
  <c r="AO21" i="31"/>
  <c r="AS21" i="31"/>
  <c r="J21" i="31"/>
  <c r="Q21" i="31"/>
  <c r="U21" i="31"/>
  <c r="K21" i="31"/>
  <c r="AA21" i="31"/>
  <c r="N21" i="31"/>
  <c r="AE21" i="31"/>
  <c r="AG21" i="31"/>
  <c r="T21" i="31"/>
  <c r="AD21" i="31"/>
  <c r="D24" i="31"/>
  <c r="D27" i="31" s="1"/>
  <c r="R21" i="31"/>
  <c r="AF21" i="31"/>
  <c r="S21" i="31"/>
  <c r="AB21" i="31"/>
  <c r="AH21" i="31"/>
  <c r="O21" i="31"/>
  <c r="V21" i="31"/>
  <c r="AI21" i="31"/>
  <c r="M21" i="31"/>
  <c r="W21" i="31"/>
  <c r="Y21" i="31"/>
  <c r="P21" i="31"/>
  <c r="Z21" i="31"/>
  <c r="L21" i="31"/>
  <c r="AC21" i="31"/>
  <c r="AA19" i="3" s="1"/>
  <c r="G19" i="3"/>
  <c r="I24" i="31"/>
  <c r="I27" i="31" s="1"/>
  <c r="AJ9" i="31"/>
  <c r="AN9" i="31"/>
  <c r="AR9" i="31"/>
  <c r="AM9" i="31"/>
  <c r="AK9" i="31"/>
  <c r="AO9" i="31"/>
  <c r="AS9" i="31"/>
  <c r="AQ7" i="3" s="1"/>
  <c r="AQ9" i="31"/>
  <c r="AL9" i="31"/>
  <c r="AP9" i="31"/>
  <c r="G9" i="31"/>
  <c r="H9" i="31"/>
  <c r="F9" i="31"/>
  <c r="AG9" i="31"/>
  <c r="Q9" i="31"/>
  <c r="AB9" i="31"/>
  <c r="W9" i="31"/>
  <c r="AD9" i="31"/>
  <c r="R9" i="31"/>
  <c r="N9" i="31"/>
  <c r="C12" i="31"/>
  <c r="C15" i="31" s="1"/>
  <c r="J9" i="31"/>
  <c r="AC9" i="31"/>
  <c r="M9" i="31"/>
  <c r="X9" i="31"/>
  <c r="P9" i="31"/>
  <c r="V9" i="31"/>
  <c r="AI9" i="31"/>
  <c r="AH9" i="31"/>
  <c r="Y9" i="31"/>
  <c r="T9" i="31"/>
  <c r="K9" i="31"/>
  <c r="AA9" i="31"/>
  <c r="L9" i="31"/>
  <c r="U9" i="31"/>
  <c r="AF9" i="31"/>
  <c r="Z9" i="31"/>
  <c r="S9" i="31"/>
  <c r="I9" i="31"/>
  <c r="O9" i="31"/>
  <c r="AE9" i="31"/>
  <c r="F23" i="3"/>
  <c r="H26" i="31"/>
  <c r="E25" i="31"/>
  <c r="E26" i="31" s="1"/>
  <c r="G37" i="2"/>
  <c r="G39" i="2" s="1"/>
  <c r="F33" i="3"/>
  <c r="F45" i="3" s="1"/>
  <c r="C21" i="3"/>
  <c r="H33" i="3"/>
  <c r="H45" i="3" s="1"/>
  <c r="X131" i="1"/>
  <c r="Y131" i="1" s="1"/>
  <c r="Z131" i="1" s="1"/>
  <c r="AA131" i="1" s="1"/>
  <c r="AB131" i="1" s="1"/>
  <c r="AC131" i="1" s="1"/>
  <c r="AD131" i="1" s="1"/>
  <c r="AE131" i="1" s="1"/>
  <c r="AF131" i="1" s="1"/>
  <c r="AG131" i="1" s="1"/>
  <c r="AH131" i="1" s="1"/>
  <c r="AI131" i="1" s="1"/>
  <c r="S7" i="3" l="1"/>
  <c r="AA7" i="3"/>
  <c r="AP7" i="3"/>
  <c r="J19" i="3"/>
  <c r="L24" i="31"/>
  <c r="L27" i="31" s="1"/>
  <c r="W24" i="31"/>
  <c r="W27" i="31" s="1"/>
  <c r="U19" i="3"/>
  <c r="U22" i="3" s="1"/>
  <c r="O24" i="31"/>
  <c r="O27" i="31" s="1"/>
  <c r="M19" i="3"/>
  <c r="AF24" i="31"/>
  <c r="AF27" i="31" s="1"/>
  <c r="AD19" i="3"/>
  <c r="AD22" i="3" s="1"/>
  <c r="R19" i="3"/>
  <c r="T24" i="31"/>
  <c r="T27" i="31" s="1"/>
  <c r="Y19" i="3"/>
  <c r="AA24" i="31"/>
  <c r="AA27" i="31" s="1"/>
  <c r="H19" i="3"/>
  <c r="J24" i="31"/>
  <c r="J27" i="31" s="1"/>
  <c r="AJ19" i="3"/>
  <c r="AL24" i="31"/>
  <c r="AL27" i="31" s="1"/>
  <c r="AN19" i="3"/>
  <c r="AP24" i="31"/>
  <c r="AP27" i="31" s="1"/>
  <c r="Q7" i="3"/>
  <c r="J7" i="3"/>
  <c r="W7" i="3"/>
  <c r="N7" i="3"/>
  <c r="H7" i="3"/>
  <c r="J12" i="31"/>
  <c r="AB7" i="3"/>
  <c r="AE7" i="3"/>
  <c r="AN7" i="3"/>
  <c r="AM7" i="3"/>
  <c r="AL7" i="3"/>
  <c r="X19" i="3"/>
  <c r="Z24" i="31"/>
  <c r="Z27" i="31" s="1"/>
  <c r="M24" i="31"/>
  <c r="M27" i="31" s="1"/>
  <c r="K19" i="3"/>
  <c r="AH24" i="31"/>
  <c r="AH27" i="31" s="1"/>
  <c r="AF19" i="3"/>
  <c r="AF22" i="3" s="1"/>
  <c r="R24" i="31"/>
  <c r="R27" i="31" s="1"/>
  <c r="P19" i="3"/>
  <c r="AE19" i="3"/>
  <c r="AG24" i="31"/>
  <c r="AG27" i="31" s="1"/>
  <c r="I19" i="3"/>
  <c r="K24" i="31"/>
  <c r="K27" i="31" s="1"/>
  <c r="AQ19" i="3"/>
  <c r="AS24" i="31"/>
  <c r="AS27" i="31" s="1"/>
  <c r="AP19" i="3"/>
  <c r="AR24" i="31"/>
  <c r="AR27" i="31" s="1"/>
  <c r="AO19" i="3"/>
  <c r="AQ24" i="31"/>
  <c r="AQ27" i="31" s="1"/>
  <c r="G7" i="3"/>
  <c r="G10" i="3" s="1"/>
  <c r="I12" i="31"/>
  <c r="I15" i="31" s="1"/>
  <c r="R7" i="3"/>
  <c r="T7" i="3"/>
  <c r="P7" i="3"/>
  <c r="O7" i="3"/>
  <c r="E7" i="3"/>
  <c r="E10" i="3" s="1"/>
  <c r="G12" i="31"/>
  <c r="G15" i="31" s="1"/>
  <c r="G21" i="31"/>
  <c r="AC7" i="3"/>
  <c r="X7" i="3"/>
  <c r="Y7" i="3"/>
  <c r="AF7" i="3"/>
  <c r="V7" i="3"/>
  <c r="U7" i="3"/>
  <c r="E9" i="31"/>
  <c r="D7" i="3"/>
  <c r="D10" i="3" s="1"/>
  <c r="D13" i="3" s="1"/>
  <c r="F21" i="31"/>
  <c r="F12" i="31"/>
  <c r="F15" i="31" s="1"/>
  <c r="AJ7" i="3"/>
  <c r="AI7" i="3"/>
  <c r="AH7" i="3"/>
  <c r="N19" i="3"/>
  <c r="P24" i="31"/>
  <c r="P27" i="31" s="1"/>
  <c r="AI24" i="31"/>
  <c r="AI27" i="31" s="1"/>
  <c r="AG19" i="3"/>
  <c r="Z19" i="3"/>
  <c r="AB24" i="31"/>
  <c r="AB27" i="31" s="1"/>
  <c r="AC19" i="3"/>
  <c r="AE24" i="31"/>
  <c r="AE27" i="31" s="1"/>
  <c r="S19" i="3"/>
  <c r="U24" i="31"/>
  <c r="U27" i="31" s="1"/>
  <c r="AM19" i="3"/>
  <c r="AO24" i="31"/>
  <c r="AO27" i="31" s="1"/>
  <c r="AL19" i="3"/>
  <c r="AN24" i="31"/>
  <c r="AN27" i="31" s="1"/>
  <c r="AK19" i="3"/>
  <c r="H11" i="3"/>
  <c r="K13" i="31"/>
  <c r="J14" i="31"/>
  <c r="L11" i="31"/>
  <c r="L12" i="31" s="1"/>
  <c r="I9" i="3"/>
  <c r="AJ131" i="1"/>
  <c r="AG16" i="10"/>
  <c r="M7" i="3"/>
  <c r="AD7" i="3"/>
  <c r="I7" i="3"/>
  <c r="K12" i="31"/>
  <c r="AG7" i="3"/>
  <c r="K7" i="3"/>
  <c r="L7" i="3"/>
  <c r="Z7" i="3"/>
  <c r="F7" i="3"/>
  <c r="H21" i="31"/>
  <c r="H12" i="31"/>
  <c r="H15" i="31" s="1"/>
  <c r="AO7" i="3"/>
  <c r="AK7" i="3"/>
  <c r="W19" i="3"/>
  <c r="W22" i="3" s="1"/>
  <c r="Y24" i="31"/>
  <c r="Y27" i="31" s="1"/>
  <c r="V24" i="31"/>
  <c r="V27" i="31" s="1"/>
  <c r="T19" i="3"/>
  <c r="S24" i="31"/>
  <c r="S27" i="31" s="1"/>
  <c r="Q19" i="3"/>
  <c r="Q22" i="3" s="1"/>
  <c r="AB19" i="3"/>
  <c r="AD24" i="31"/>
  <c r="AD27" i="31" s="1"/>
  <c r="L19" i="3"/>
  <c r="L22" i="3" s="1"/>
  <c r="N24" i="31"/>
  <c r="N27" i="31" s="1"/>
  <c r="O19" i="3"/>
  <c r="Q24" i="31"/>
  <c r="Q27" i="31" s="1"/>
  <c r="AI19" i="3"/>
  <c r="AK24" i="31"/>
  <c r="AK27" i="31" s="1"/>
  <c r="AH19" i="3"/>
  <c r="AJ24" i="31"/>
  <c r="AJ27" i="31" s="1"/>
  <c r="V19" i="3"/>
  <c r="X24" i="31"/>
  <c r="X27" i="31" s="1"/>
  <c r="G38" i="2"/>
  <c r="O22" i="3"/>
  <c r="K22" i="3"/>
  <c r="F10" i="3"/>
  <c r="S22" i="3"/>
  <c r="R22" i="3"/>
  <c r="AE22" i="3"/>
  <c r="V22" i="3"/>
  <c r="I22" i="3"/>
  <c r="H10" i="3"/>
  <c r="P22" i="3"/>
  <c r="X22" i="3"/>
  <c r="J22" i="3"/>
  <c r="AB22" i="3"/>
  <c r="H22" i="3"/>
  <c r="AC22" i="3"/>
  <c r="T22" i="3"/>
  <c r="N22" i="3"/>
  <c r="M22" i="3"/>
  <c r="G22" i="3"/>
  <c r="AG22" i="3" l="1"/>
  <c r="AG25" i="3" s="1"/>
  <c r="AG31" i="3"/>
  <c r="J15" i="31"/>
  <c r="AK31" i="3"/>
  <c r="AM22" i="3"/>
  <c r="AM25" i="3" s="1"/>
  <c r="AM31" i="3"/>
  <c r="AO22" i="3"/>
  <c r="AO25" i="3" s="1"/>
  <c r="AO31" i="3"/>
  <c r="AQ31" i="3"/>
  <c r="AQ22" i="3"/>
  <c r="AQ25" i="3" s="1"/>
  <c r="AJ31" i="3"/>
  <c r="AJ22" i="3"/>
  <c r="AJ25" i="3" s="1"/>
  <c r="AK131" i="1"/>
  <c r="AH16" i="10"/>
  <c r="I11" i="3"/>
  <c r="K14" i="31"/>
  <c r="K15" i="31" s="1"/>
  <c r="L13" i="31"/>
  <c r="E19" i="3"/>
  <c r="E22" i="3" s="1"/>
  <c r="G24" i="31"/>
  <c r="G27" i="31" s="1"/>
  <c r="AH31" i="3"/>
  <c r="AH22" i="3"/>
  <c r="AH25" i="3" s="1"/>
  <c r="F19" i="3"/>
  <c r="F22" i="3" s="1"/>
  <c r="H24" i="31"/>
  <c r="H27" i="31" s="1"/>
  <c r="M11" i="31"/>
  <c r="J9" i="3"/>
  <c r="AI22" i="3"/>
  <c r="AI25" i="3" s="1"/>
  <c r="AI31" i="3"/>
  <c r="AL31" i="3"/>
  <c r="AL22" i="3"/>
  <c r="AL25" i="3" s="1"/>
  <c r="D19" i="3"/>
  <c r="D22" i="3" s="1"/>
  <c r="E21" i="31"/>
  <c r="F24" i="31"/>
  <c r="F27" i="31" s="1"/>
  <c r="AP31" i="3"/>
  <c r="AP22" i="3"/>
  <c r="AP25" i="3" s="1"/>
  <c r="AN31" i="3"/>
  <c r="AN22" i="3"/>
  <c r="AN25" i="3" s="1"/>
  <c r="I33" i="3"/>
  <c r="I45" i="3" s="1"/>
  <c r="I10" i="3"/>
  <c r="F8" i="9"/>
  <c r="G8" i="9" s="1"/>
  <c r="F9" i="9"/>
  <c r="G9" i="9" s="1"/>
  <c r="F10" i="9"/>
  <c r="G10" i="9" s="1"/>
  <c r="F11" i="9"/>
  <c r="G11" i="9" s="1"/>
  <c r="F12" i="9"/>
  <c r="G12" i="9" s="1"/>
  <c r="F13" i="9"/>
  <c r="G13" i="9" s="1"/>
  <c r="F14" i="9"/>
  <c r="G14" i="9" s="1"/>
  <c r="F15" i="9"/>
  <c r="G15" i="9" s="1"/>
  <c r="F17" i="9"/>
  <c r="G17" i="9" s="1"/>
  <c r="F18" i="9"/>
  <c r="G18" i="9" s="1"/>
  <c r="F19" i="9"/>
  <c r="G19" i="9" s="1"/>
  <c r="F20" i="9"/>
  <c r="G20" i="9" s="1"/>
  <c r="F21" i="9"/>
  <c r="G21" i="9" s="1"/>
  <c r="D50" i="2"/>
  <c r="E50" i="2"/>
  <c r="F50" i="2"/>
  <c r="D51" i="2"/>
  <c r="E51" i="2"/>
  <c r="F51" i="2"/>
  <c r="D52" i="2"/>
  <c r="E52" i="2"/>
  <c r="F52" i="2"/>
  <c r="D53" i="2"/>
  <c r="E53" i="2"/>
  <c r="F53" i="2"/>
  <c r="D54" i="2"/>
  <c r="E54" i="2"/>
  <c r="F54" i="2"/>
  <c r="D55" i="2"/>
  <c r="E55" i="2"/>
  <c r="F55" i="2"/>
  <c r="D56" i="2"/>
  <c r="E56" i="2"/>
  <c r="F56" i="2"/>
  <c r="D57" i="2"/>
  <c r="E57" i="2"/>
  <c r="F57" i="2"/>
  <c r="D58" i="2"/>
  <c r="E58" i="2"/>
  <c r="F58" i="2"/>
  <c r="D59" i="2"/>
  <c r="E59" i="2"/>
  <c r="F59" i="2"/>
  <c r="D60" i="2"/>
  <c r="E60" i="2"/>
  <c r="F60" i="2"/>
  <c r="D61" i="2"/>
  <c r="E61" i="2"/>
  <c r="F61" i="2"/>
  <c r="D62" i="2"/>
  <c r="E62" i="2"/>
  <c r="F62" i="2"/>
  <c r="D63" i="2"/>
  <c r="E63" i="2"/>
  <c r="F63" i="2"/>
  <c r="D64" i="2"/>
  <c r="E64" i="2"/>
  <c r="F64" i="2"/>
  <c r="D65" i="2"/>
  <c r="E65" i="2"/>
  <c r="F65" i="2"/>
  <c r="E49" i="2"/>
  <c r="F49" i="2"/>
  <c r="C14" i="2"/>
  <c r="C15" i="2"/>
  <c r="C16" i="2"/>
  <c r="C17" i="2"/>
  <c r="C18" i="2"/>
  <c r="C19" i="2"/>
  <c r="C20" i="2"/>
  <c r="C21" i="2"/>
  <c r="C22" i="2"/>
  <c r="C23" i="2"/>
  <c r="AM22" i="31" l="1"/>
  <c r="AK20" i="3" s="1"/>
  <c r="AM24" i="31"/>
  <c r="AM27" i="31" s="1"/>
  <c r="AL54" i="6"/>
  <c r="AL56" i="6" s="1"/>
  <c r="AL57" i="6" s="1"/>
  <c r="AL59" i="6" s="1"/>
  <c r="AL58" i="3"/>
  <c r="AL60" i="3" s="1"/>
  <c r="AJ43" i="3"/>
  <c r="AL43" i="3"/>
  <c r="AH54" i="6"/>
  <c r="AH56" i="6" s="1"/>
  <c r="AH57" i="6" s="1"/>
  <c r="AH59" i="6" s="1"/>
  <c r="AH58" i="3"/>
  <c r="AH60" i="3" s="1"/>
  <c r="J11" i="3"/>
  <c r="L14" i="31"/>
  <c r="L15" i="31" s="1"/>
  <c r="M13" i="31"/>
  <c r="AL131" i="1"/>
  <c r="AI16" i="10"/>
  <c r="AO54" i="6"/>
  <c r="AO56" i="6" s="1"/>
  <c r="AO57" i="6" s="1"/>
  <c r="AO59" i="6" s="1"/>
  <c r="AO58" i="3"/>
  <c r="AO60" i="3" s="1"/>
  <c r="AM58" i="3"/>
  <c r="AM60" i="3" s="1"/>
  <c r="AM54" i="6"/>
  <c r="AM56" i="6" s="1"/>
  <c r="AM57" i="6" s="1"/>
  <c r="AM59" i="6" s="1"/>
  <c r="AG43" i="3"/>
  <c r="AO43" i="3"/>
  <c r="AP58" i="3"/>
  <c r="AP60" i="3" s="1"/>
  <c r="AP54" i="6"/>
  <c r="AP56" i="6" s="1"/>
  <c r="AP57" i="6" s="1"/>
  <c r="AP59" i="6" s="1"/>
  <c r="AI43" i="3"/>
  <c r="N11" i="31"/>
  <c r="K9" i="3"/>
  <c r="M12" i="31"/>
  <c r="AH43" i="3"/>
  <c r="AQ58" i="3"/>
  <c r="AQ60" i="3" s="1"/>
  <c r="AQ54" i="6"/>
  <c r="AQ56" i="6" s="1"/>
  <c r="AQ57" i="6" s="1"/>
  <c r="AQ59" i="6" s="1"/>
  <c r="AK43" i="3"/>
  <c r="AG54" i="6"/>
  <c r="AG56" i="6" s="1"/>
  <c r="AG57" i="6" s="1"/>
  <c r="AG59" i="6" s="1"/>
  <c r="AG58" i="3"/>
  <c r="AG60" i="3" s="1"/>
  <c r="AN43" i="3"/>
  <c r="AM43" i="3"/>
  <c r="AN58" i="3"/>
  <c r="AN60" i="3" s="1"/>
  <c r="AN54" i="6"/>
  <c r="AN56" i="6" s="1"/>
  <c r="AN57" i="6" s="1"/>
  <c r="AN59" i="6" s="1"/>
  <c r="AP43" i="3"/>
  <c r="AI54" i="6"/>
  <c r="AI56" i="6" s="1"/>
  <c r="AI57" i="6" s="1"/>
  <c r="AI59" i="6" s="1"/>
  <c r="AI58" i="3"/>
  <c r="AI60" i="3" s="1"/>
  <c r="AJ54" i="6"/>
  <c r="AJ56" i="6" s="1"/>
  <c r="AJ57" i="6" s="1"/>
  <c r="AJ59" i="6" s="1"/>
  <c r="AJ58" i="3"/>
  <c r="AJ60" i="3" s="1"/>
  <c r="AQ43" i="3"/>
  <c r="L18" i="9"/>
  <c r="H17" i="9"/>
  <c r="I17" i="9" s="1"/>
  <c r="L17" i="9"/>
  <c r="J33" i="3"/>
  <c r="J45" i="3" s="1"/>
  <c r="J10" i="3"/>
  <c r="H13" i="9"/>
  <c r="H12" i="9"/>
  <c r="H19" i="9"/>
  <c r="H11" i="9"/>
  <c r="H16" i="9"/>
  <c r="H15" i="9"/>
  <c r="H18" i="9"/>
  <c r="H14" i="9"/>
  <c r="C55" i="2"/>
  <c r="C54" i="2"/>
  <c r="C62" i="2"/>
  <c r="C61" i="2"/>
  <c r="C58" i="2"/>
  <c r="C57" i="2"/>
  <c r="C63" i="2"/>
  <c r="C59" i="2"/>
  <c r="C60" i="2"/>
  <c r="C56" i="2"/>
  <c r="D347" i="1"/>
  <c r="E347" i="1" s="1"/>
  <c r="F347" i="1" s="1"/>
  <c r="G347" i="1" s="1"/>
  <c r="H347" i="1" s="1"/>
  <c r="I347" i="1" s="1"/>
  <c r="J347" i="1" s="1"/>
  <c r="K347" i="1" s="1"/>
  <c r="L347" i="1" s="1"/>
  <c r="M347" i="1" s="1"/>
  <c r="N347" i="1" s="1"/>
  <c r="O347" i="1" s="1"/>
  <c r="P347" i="1" s="1"/>
  <c r="Q347" i="1" s="1"/>
  <c r="R347" i="1" s="1"/>
  <c r="S347" i="1" s="1"/>
  <c r="T347" i="1" s="1"/>
  <c r="U347" i="1" s="1"/>
  <c r="V347" i="1" s="1"/>
  <c r="W347" i="1" s="1"/>
  <c r="X347" i="1" s="1"/>
  <c r="Y347" i="1" s="1"/>
  <c r="Z347" i="1" s="1"/>
  <c r="AA347" i="1" s="1"/>
  <c r="AB347" i="1" s="1"/>
  <c r="AC347" i="1" s="1"/>
  <c r="AD347" i="1" s="1"/>
  <c r="AE347" i="1" s="1"/>
  <c r="AF347" i="1" s="1"/>
  <c r="AG347" i="1" s="1"/>
  <c r="AH347" i="1" s="1"/>
  <c r="AI347" i="1" s="1"/>
  <c r="AJ347" i="1" s="1"/>
  <c r="AK347" i="1" s="1"/>
  <c r="AL347" i="1" s="1"/>
  <c r="AM347" i="1" s="1"/>
  <c r="AN347" i="1" s="1"/>
  <c r="AO347" i="1" s="1"/>
  <c r="AP347" i="1" s="1"/>
  <c r="D346" i="1"/>
  <c r="E346" i="1" s="1"/>
  <c r="F346" i="1" s="1"/>
  <c r="G346" i="1" s="1"/>
  <c r="H346" i="1" s="1"/>
  <c r="I346" i="1" s="1"/>
  <c r="J346" i="1" s="1"/>
  <c r="K346" i="1" s="1"/>
  <c r="L346" i="1" s="1"/>
  <c r="M346" i="1" s="1"/>
  <c r="N346" i="1" s="1"/>
  <c r="O346" i="1" s="1"/>
  <c r="P346" i="1" s="1"/>
  <c r="Q346" i="1" s="1"/>
  <c r="R346" i="1" s="1"/>
  <c r="S346" i="1" s="1"/>
  <c r="T346" i="1" s="1"/>
  <c r="U346" i="1" s="1"/>
  <c r="V346" i="1" s="1"/>
  <c r="W346" i="1" s="1"/>
  <c r="X346" i="1" s="1"/>
  <c r="Y346" i="1" s="1"/>
  <c r="Z346" i="1" s="1"/>
  <c r="AA346" i="1" s="1"/>
  <c r="AB346" i="1" s="1"/>
  <c r="AC346" i="1" s="1"/>
  <c r="AD346" i="1" s="1"/>
  <c r="AE346" i="1" s="1"/>
  <c r="AF346" i="1" s="1"/>
  <c r="AG346" i="1" s="1"/>
  <c r="AH346" i="1" s="1"/>
  <c r="AI346" i="1" s="1"/>
  <c r="AJ346" i="1" s="1"/>
  <c r="AK346" i="1" s="1"/>
  <c r="AL346" i="1" s="1"/>
  <c r="AM346" i="1" s="1"/>
  <c r="AN346" i="1" s="1"/>
  <c r="AO346" i="1" s="1"/>
  <c r="AP346" i="1" s="1"/>
  <c r="D345" i="1"/>
  <c r="E345" i="1" s="1"/>
  <c r="F345" i="1" s="1"/>
  <c r="G345" i="1" s="1"/>
  <c r="H345" i="1" s="1"/>
  <c r="I345" i="1" s="1"/>
  <c r="J345" i="1" s="1"/>
  <c r="K345" i="1" s="1"/>
  <c r="L345" i="1" s="1"/>
  <c r="M345" i="1" s="1"/>
  <c r="N345" i="1" s="1"/>
  <c r="O345" i="1" s="1"/>
  <c r="P345" i="1" s="1"/>
  <c r="Q345" i="1" s="1"/>
  <c r="R345" i="1" s="1"/>
  <c r="S345" i="1" s="1"/>
  <c r="T345" i="1" s="1"/>
  <c r="U345" i="1" s="1"/>
  <c r="V345" i="1" s="1"/>
  <c r="W345" i="1" s="1"/>
  <c r="X345" i="1" s="1"/>
  <c r="Y345" i="1" s="1"/>
  <c r="Z345" i="1" s="1"/>
  <c r="AA345" i="1" s="1"/>
  <c r="AB345" i="1" s="1"/>
  <c r="AC345" i="1" s="1"/>
  <c r="AD345" i="1" s="1"/>
  <c r="AE345" i="1" s="1"/>
  <c r="AF345" i="1" s="1"/>
  <c r="AG345" i="1" s="1"/>
  <c r="AH345" i="1" s="1"/>
  <c r="AI345" i="1" s="1"/>
  <c r="AJ345" i="1" s="1"/>
  <c r="AK345" i="1" s="1"/>
  <c r="AL345" i="1" s="1"/>
  <c r="AM345" i="1" s="1"/>
  <c r="AN345" i="1" s="1"/>
  <c r="AO345" i="1" s="1"/>
  <c r="AP345" i="1" s="1"/>
  <c r="D344" i="1"/>
  <c r="E344" i="1" s="1"/>
  <c r="F344" i="1" s="1"/>
  <c r="G344" i="1" s="1"/>
  <c r="H344" i="1" s="1"/>
  <c r="I344" i="1" s="1"/>
  <c r="J344" i="1" s="1"/>
  <c r="K344" i="1" s="1"/>
  <c r="L344" i="1" s="1"/>
  <c r="M344" i="1" s="1"/>
  <c r="N344" i="1" s="1"/>
  <c r="O344" i="1" s="1"/>
  <c r="P344" i="1" s="1"/>
  <c r="Q344" i="1" s="1"/>
  <c r="R344" i="1" s="1"/>
  <c r="S344" i="1" s="1"/>
  <c r="T344" i="1" s="1"/>
  <c r="U344" i="1" s="1"/>
  <c r="V344" i="1" s="1"/>
  <c r="W344" i="1" s="1"/>
  <c r="X344" i="1" s="1"/>
  <c r="Y344" i="1" s="1"/>
  <c r="Z344" i="1" s="1"/>
  <c r="AA344" i="1" s="1"/>
  <c r="AB344" i="1" s="1"/>
  <c r="AC344" i="1" s="1"/>
  <c r="AD344" i="1" s="1"/>
  <c r="AE344" i="1" s="1"/>
  <c r="AF344" i="1" s="1"/>
  <c r="AG344" i="1" s="1"/>
  <c r="AH344" i="1" s="1"/>
  <c r="AI344" i="1" s="1"/>
  <c r="AJ344" i="1" s="1"/>
  <c r="AK344" i="1" s="1"/>
  <c r="AL344" i="1" s="1"/>
  <c r="AM344" i="1" s="1"/>
  <c r="AN344" i="1" s="1"/>
  <c r="AO344" i="1" s="1"/>
  <c r="AP344" i="1" s="1"/>
  <c r="D343" i="1"/>
  <c r="E343" i="1" s="1"/>
  <c r="F343" i="1" s="1"/>
  <c r="G343" i="1" s="1"/>
  <c r="H343" i="1" s="1"/>
  <c r="I343" i="1" s="1"/>
  <c r="J343" i="1" s="1"/>
  <c r="K343" i="1" s="1"/>
  <c r="L343" i="1" s="1"/>
  <c r="M343" i="1" s="1"/>
  <c r="N343" i="1" s="1"/>
  <c r="O343" i="1" s="1"/>
  <c r="P343" i="1" s="1"/>
  <c r="Q343" i="1" s="1"/>
  <c r="R343" i="1" s="1"/>
  <c r="S343" i="1" s="1"/>
  <c r="T343" i="1" s="1"/>
  <c r="U343" i="1" s="1"/>
  <c r="V343" i="1" s="1"/>
  <c r="W343" i="1" s="1"/>
  <c r="X343" i="1" s="1"/>
  <c r="Y343" i="1" s="1"/>
  <c r="Z343" i="1" s="1"/>
  <c r="AA343" i="1" s="1"/>
  <c r="AB343" i="1" s="1"/>
  <c r="AC343" i="1" s="1"/>
  <c r="AD343" i="1" s="1"/>
  <c r="AE343" i="1" s="1"/>
  <c r="AF343" i="1" s="1"/>
  <c r="AG343" i="1" s="1"/>
  <c r="AH343" i="1" s="1"/>
  <c r="AI343" i="1" s="1"/>
  <c r="AJ343" i="1" s="1"/>
  <c r="AK343" i="1" s="1"/>
  <c r="AL343" i="1" s="1"/>
  <c r="AM343" i="1" s="1"/>
  <c r="AN343" i="1" s="1"/>
  <c r="AO343" i="1" s="1"/>
  <c r="AP343" i="1" s="1"/>
  <c r="D342" i="1"/>
  <c r="E342" i="1" s="1"/>
  <c r="F342" i="1" s="1"/>
  <c r="G342" i="1" s="1"/>
  <c r="H342" i="1" s="1"/>
  <c r="I342" i="1" s="1"/>
  <c r="J342" i="1" s="1"/>
  <c r="K342" i="1" s="1"/>
  <c r="L342" i="1" s="1"/>
  <c r="M342" i="1" s="1"/>
  <c r="N342" i="1" s="1"/>
  <c r="O342" i="1" s="1"/>
  <c r="P342" i="1" s="1"/>
  <c r="Q342" i="1" s="1"/>
  <c r="R342" i="1" s="1"/>
  <c r="S342" i="1" s="1"/>
  <c r="T342" i="1" s="1"/>
  <c r="U342" i="1" s="1"/>
  <c r="V342" i="1" s="1"/>
  <c r="W342" i="1" s="1"/>
  <c r="X342" i="1" s="1"/>
  <c r="Y342" i="1" s="1"/>
  <c r="Z342" i="1" s="1"/>
  <c r="AA342" i="1" s="1"/>
  <c r="AB342" i="1" s="1"/>
  <c r="AC342" i="1" s="1"/>
  <c r="AD342" i="1" s="1"/>
  <c r="AE342" i="1" s="1"/>
  <c r="AF342" i="1" s="1"/>
  <c r="AG342" i="1" s="1"/>
  <c r="AH342" i="1" s="1"/>
  <c r="AI342" i="1" s="1"/>
  <c r="AJ342" i="1" s="1"/>
  <c r="AK342" i="1" s="1"/>
  <c r="AL342" i="1" s="1"/>
  <c r="AM342" i="1" s="1"/>
  <c r="AN342" i="1" s="1"/>
  <c r="AO342" i="1" s="1"/>
  <c r="AP342" i="1" s="1"/>
  <c r="D341" i="1"/>
  <c r="E341" i="1" s="1"/>
  <c r="F341" i="1" s="1"/>
  <c r="G341" i="1" s="1"/>
  <c r="H341" i="1" s="1"/>
  <c r="I341" i="1" s="1"/>
  <c r="J341" i="1" s="1"/>
  <c r="K341" i="1" s="1"/>
  <c r="L341" i="1" s="1"/>
  <c r="M341" i="1" s="1"/>
  <c r="N341" i="1" s="1"/>
  <c r="O341" i="1" s="1"/>
  <c r="P341" i="1" s="1"/>
  <c r="Q341" i="1" s="1"/>
  <c r="R341" i="1" s="1"/>
  <c r="S341" i="1" s="1"/>
  <c r="T341" i="1" s="1"/>
  <c r="U341" i="1" s="1"/>
  <c r="V341" i="1" s="1"/>
  <c r="W341" i="1" s="1"/>
  <c r="X341" i="1" s="1"/>
  <c r="Y341" i="1" s="1"/>
  <c r="Z341" i="1" s="1"/>
  <c r="AA341" i="1" s="1"/>
  <c r="AB341" i="1" s="1"/>
  <c r="AC341" i="1" s="1"/>
  <c r="AD341" i="1" s="1"/>
  <c r="AE341" i="1" s="1"/>
  <c r="AF341" i="1" s="1"/>
  <c r="AG341" i="1" s="1"/>
  <c r="AH341" i="1" s="1"/>
  <c r="AI341" i="1" s="1"/>
  <c r="AJ341" i="1" s="1"/>
  <c r="AK341" i="1" s="1"/>
  <c r="AL341" i="1" s="1"/>
  <c r="AM341" i="1" s="1"/>
  <c r="AN341" i="1" s="1"/>
  <c r="AO341" i="1" s="1"/>
  <c r="AP341" i="1" s="1"/>
  <c r="D340" i="1"/>
  <c r="E340" i="1" s="1"/>
  <c r="F340" i="1" s="1"/>
  <c r="G340" i="1" s="1"/>
  <c r="H340" i="1" s="1"/>
  <c r="I340" i="1" s="1"/>
  <c r="J340" i="1" s="1"/>
  <c r="K340" i="1" s="1"/>
  <c r="L340" i="1" s="1"/>
  <c r="M340" i="1" s="1"/>
  <c r="N340" i="1" s="1"/>
  <c r="O340" i="1" s="1"/>
  <c r="P340" i="1" s="1"/>
  <c r="Q340" i="1" s="1"/>
  <c r="R340" i="1" s="1"/>
  <c r="S340" i="1" s="1"/>
  <c r="T340" i="1" s="1"/>
  <c r="U340" i="1" s="1"/>
  <c r="V340" i="1" s="1"/>
  <c r="W340" i="1" s="1"/>
  <c r="X340" i="1" s="1"/>
  <c r="Y340" i="1" s="1"/>
  <c r="Z340" i="1" s="1"/>
  <c r="AA340" i="1" s="1"/>
  <c r="AB340" i="1" s="1"/>
  <c r="AC340" i="1" s="1"/>
  <c r="AD340" i="1" s="1"/>
  <c r="AE340" i="1" s="1"/>
  <c r="AF340" i="1" s="1"/>
  <c r="AG340" i="1" s="1"/>
  <c r="AH340" i="1" s="1"/>
  <c r="AI340" i="1" s="1"/>
  <c r="AJ340" i="1" s="1"/>
  <c r="AK340" i="1" s="1"/>
  <c r="AL340" i="1" s="1"/>
  <c r="AM340" i="1" s="1"/>
  <c r="AN340" i="1" s="1"/>
  <c r="AO340" i="1" s="1"/>
  <c r="AP340" i="1" s="1"/>
  <c r="D339" i="1"/>
  <c r="E339" i="1" s="1"/>
  <c r="F339" i="1" s="1"/>
  <c r="G339" i="1" s="1"/>
  <c r="H339" i="1" s="1"/>
  <c r="I339" i="1" s="1"/>
  <c r="J339" i="1" s="1"/>
  <c r="K339" i="1" s="1"/>
  <c r="L339" i="1" s="1"/>
  <c r="M339" i="1" s="1"/>
  <c r="N339" i="1" s="1"/>
  <c r="O339" i="1" s="1"/>
  <c r="P339" i="1" s="1"/>
  <c r="Q339" i="1" s="1"/>
  <c r="R339" i="1" s="1"/>
  <c r="S339" i="1" s="1"/>
  <c r="T339" i="1" s="1"/>
  <c r="U339" i="1" s="1"/>
  <c r="V339" i="1" s="1"/>
  <c r="W339" i="1" s="1"/>
  <c r="X339" i="1" s="1"/>
  <c r="Y339" i="1" s="1"/>
  <c r="Z339" i="1" s="1"/>
  <c r="AA339" i="1" s="1"/>
  <c r="AB339" i="1" s="1"/>
  <c r="AC339" i="1" s="1"/>
  <c r="AD339" i="1" s="1"/>
  <c r="AE339" i="1" s="1"/>
  <c r="AF339" i="1" s="1"/>
  <c r="AG339" i="1" s="1"/>
  <c r="AH339" i="1" s="1"/>
  <c r="AI339" i="1" s="1"/>
  <c r="AJ339" i="1" s="1"/>
  <c r="AK339" i="1" s="1"/>
  <c r="AL339" i="1" s="1"/>
  <c r="AM339" i="1" s="1"/>
  <c r="AN339" i="1" s="1"/>
  <c r="AO339" i="1" s="1"/>
  <c r="AP339" i="1" s="1"/>
  <c r="D338" i="1"/>
  <c r="E338" i="1" s="1"/>
  <c r="F338" i="1" s="1"/>
  <c r="G338" i="1" s="1"/>
  <c r="H338" i="1" s="1"/>
  <c r="I338" i="1" s="1"/>
  <c r="J338" i="1" s="1"/>
  <c r="K338" i="1" s="1"/>
  <c r="L338" i="1" s="1"/>
  <c r="M338" i="1" s="1"/>
  <c r="N338" i="1" s="1"/>
  <c r="O338" i="1" s="1"/>
  <c r="P338" i="1" s="1"/>
  <c r="Q338" i="1" s="1"/>
  <c r="R338" i="1" s="1"/>
  <c r="S338" i="1" s="1"/>
  <c r="T338" i="1" s="1"/>
  <c r="U338" i="1" s="1"/>
  <c r="V338" i="1" s="1"/>
  <c r="W338" i="1" s="1"/>
  <c r="X338" i="1" s="1"/>
  <c r="Y338" i="1" s="1"/>
  <c r="Z338" i="1" s="1"/>
  <c r="AA338" i="1" s="1"/>
  <c r="AB338" i="1" s="1"/>
  <c r="AC338" i="1" s="1"/>
  <c r="AD338" i="1" s="1"/>
  <c r="AE338" i="1" s="1"/>
  <c r="AF338" i="1" s="1"/>
  <c r="AG338" i="1" s="1"/>
  <c r="AH338" i="1" s="1"/>
  <c r="AI338" i="1" s="1"/>
  <c r="AJ338" i="1" s="1"/>
  <c r="AK338" i="1" s="1"/>
  <c r="AL338" i="1" s="1"/>
  <c r="AM338" i="1" s="1"/>
  <c r="AN338" i="1" s="1"/>
  <c r="AO338" i="1" s="1"/>
  <c r="AP338" i="1" s="1"/>
  <c r="D337" i="1"/>
  <c r="E337" i="1" s="1"/>
  <c r="F337" i="1" s="1"/>
  <c r="G337" i="1" s="1"/>
  <c r="H337" i="1" s="1"/>
  <c r="I337" i="1" s="1"/>
  <c r="J337" i="1" s="1"/>
  <c r="K337" i="1" s="1"/>
  <c r="L337" i="1" s="1"/>
  <c r="M337" i="1" s="1"/>
  <c r="N337" i="1" s="1"/>
  <c r="O337" i="1" s="1"/>
  <c r="P337" i="1" s="1"/>
  <c r="Q337" i="1" s="1"/>
  <c r="R337" i="1" s="1"/>
  <c r="S337" i="1" s="1"/>
  <c r="T337" i="1" s="1"/>
  <c r="U337" i="1" s="1"/>
  <c r="V337" i="1" s="1"/>
  <c r="W337" i="1" s="1"/>
  <c r="X337" i="1" s="1"/>
  <c r="Y337" i="1" s="1"/>
  <c r="Z337" i="1" s="1"/>
  <c r="AA337" i="1" s="1"/>
  <c r="AB337" i="1" s="1"/>
  <c r="AC337" i="1" s="1"/>
  <c r="AD337" i="1" s="1"/>
  <c r="AE337" i="1" s="1"/>
  <c r="AF337" i="1" s="1"/>
  <c r="AG337" i="1" s="1"/>
  <c r="AH337" i="1" s="1"/>
  <c r="AI337" i="1" s="1"/>
  <c r="AJ337" i="1" s="1"/>
  <c r="AK337" i="1" s="1"/>
  <c r="AL337" i="1" s="1"/>
  <c r="AM337" i="1" s="1"/>
  <c r="AN337" i="1" s="1"/>
  <c r="AO337" i="1" s="1"/>
  <c r="AP337" i="1" s="1"/>
  <c r="D336" i="1"/>
  <c r="E336" i="1" s="1"/>
  <c r="F336" i="1" s="1"/>
  <c r="G336" i="1" s="1"/>
  <c r="H336" i="1" s="1"/>
  <c r="I336" i="1" s="1"/>
  <c r="J336" i="1" s="1"/>
  <c r="K336" i="1" s="1"/>
  <c r="L336" i="1" s="1"/>
  <c r="M336" i="1" s="1"/>
  <c r="N336" i="1" s="1"/>
  <c r="O336" i="1" s="1"/>
  <c r="P336" i="1" s="1"/>
  <c r="Q336" i="1" s="1"/>
  <c r="R336" i="1" s="1"/>
  <c r="S336" i="1" s="1"/>
  <c r="T336" i="1" s="1"/>
  <c r="U336" i="1" s="1"/>
  <c r="V336" i="1" s="1"/>
  <c r="W336" i="1" s="1"/>
  <c r="X336" i="1" s="1"/>
  <c r="Y336" i="1" s="1"/>
  <c r="Z336" i="1" s="1"/>
  <c r="AA336" i="1" s="1"/>
  <c r="AB336" i="1" s="1"/>
  <c r="AC336" i="1" s="1"/>
  <c r="AD336" i="1" s="1"/>
  <c r="AE336" i="1" s="1"/>
  <c r="AF336" i="1" s="1"/>
  <c r="AG336" i="1" s="1"/>
  <c r="AH336" i="1" s="1"/>
  <c r="AI336" i="1" s="1"/>
  <c r="AJ336" i="1" s="1"/>
  <c r="AK336" i="1" s="1"/>
  <c r="AL336" i="1" s="1"/>
  <c r="AM336" i="1" s="1"/>
  <c r="AN336" i="1" s="1"/>
  <c r="AO336" i="1" s="1"/>
  <c r="AP336" i="1" s="1"/>
  <c r="D335" i="1"/>
  <c r="E335" i="1" s="1"/>
  <c r="F335" i="1" s="1"/>
  <c r="G335" i="1" s="1"/>
  <c r="H335" i="1" s="1"/>
  <c r="I335" i="1" s="1"/>
  <c r="J335" i="1" s="1"/>
  <c r="K335" i="1" s="1"/>
  <c r="L335" i="1" s="1"/>
  <c r="M335" i="1" s="1"/>
  <c r="N335" i="1" s="1"/>
  <c r="O335" i="1" s="1"/>
  <c r="P335" i="1" s="1"/>
  <c r="Q335" i="1" s="1"/>
  <c r="R335" i="1" s="1"/>
  <c r="S335" i="1" s="1"/>
  <c r="T335" i="1" s="1"/>
  <c r="U335" i="1" s="1"/>
  <c r="V335" i="1" s="1"/>
  <c r="W335" i="1" s="1"/>
  <c r="X335" i="1" s="1"/>
  <c r="Y335" i="1" s="1"/>
  <c r="Z335" i="1" s="1"/>
  <c r="AA335" i="1" s="1"/>
  <c r="AB335" i="1" s="1"/>
  <c r="AC335" i="1" s="1"/>
  <c r="AD335" i="1" s="1"/>
  <c r="AE335" i="1" s="1"/>
  <c r="AF335" i="1" s="1"/>
  <c r="AG335" i="1" s="1"/>
  <c r="AH335" i="1" s="1"/>
  <c r="AI335" i="1" s="1"/>
  <c r="AJ335" i="1" s="1"/>
  <c r="AK335" i="1" s="1"/>
  <c r="AL335" i="1" s="1"/>
  <c r="AM335" i="1" s="1"/>
  <c r="AN335" i="1" s="1"/>
  <c r="AO335" i="1" s="1"/>
  <c r="AP335" i="1" s="1"/>
  <c r="D334" i="1"/>
  <c r="E334" i="1" s="1"/>
  <c r="F334" i="1" s="1"/>
  <c r="G334" i="1" s="1"/>
  <c r="H334" i="1" s="1"/>
  <c r="I334" i="1" s="1"/>
  <c r="J334" i="1" s="1"/>
  <c r="K334" i="1" s="1"/>
  <c r="L334" i="1" s="1"/>
  <c r="M334" i="1" s="1"/>
  <c r="N334" i="1" s="1"/>
  <c r="O334" i="1" s="1"/>
  <c r="P334" i="1" s="1"/>
  <c r="Q334" i="1" s="1"/>
  <c r="R334" i="1" s="1"/>
  <c r="S334" i="1" s="1"/>
  <c r="T334" i="1" s="1"/>
  <c r="U334" i="1" s="1"/>
  <c r="V334" i="1" s="1"/>
  <c r="W334" i="1" s="1"/>
  <c r="X334" i="1" s="1"/>
  <c r="Y334" i="1" s="1"/>
  <c r="Z334" i="1" s="1"/>
  <c r="AA334" i="1" s="1"/>
  <c r="AB334" i="1" s="1"/>
  <c r="AC334" i="1" s="1"/>
  <c r="AD334" i="1" s="1"/>
  <c r="AE334" i="1" s="1"/>
  <c r="AF334" i="1" s="1"/>
  <c r="AG334" i="1" s="1"/>
  <c r="AH334" i="1" s="1"/>
  <c r="AI334" i="1" s="1"/>
  <c r="AJ334" i="1" s="1"/>
  <c r="AK334" i="1" s="1"/>
  <c r="AL334" i="1" s="1"/>
  <c r="AM334" i="1" s="1"/>
  <c r="AN334" i="1" s="1"/>
  <c r="AO334" i="1" s="1"/>
  <c r="AP334" i="1" s="1"/>
  <c r="D333" i="1"/>
  <c r="E333" i="1" s="1"/>
  <c r="F333" i="1" s="1"/>
  <c r="G333" i="1" s="1"/>
  <c r="H333" i="1" s="1"/>
  <c r="I333" i="1" s="1"/>
  <c r="J333" i="1" s="1"/>
  <c r="K333" i="1" s="1"/>
  <c r="L333" i="1" s="1"/>
  <c r="M333" i="1" s="1"/>
  <c r="N333" i="1" s="1"/>
  <c r="O333" i="1" s="1"/>
  <c r="P333" i="1" s="1"/>
  <c r="Q333" i="1" s="1"/>
  <c r="R333" i="1" s="1"/>
  <c r="S333" i="1" s="1"/>
  <c r="T333" i="1" s="1"/>
  <c r="U333" i="1" s="1"/>
  <c r="V333" i="1" s="1"/>
  <c r="W333" i="1" s="1"/>
  <c r="X333" i="1" s="1"/>
  <c r="Y333" i="1" s="1"/>
  <c r="Z333" i="1" s="1"/>
  <c r="AA333" i="1" s="1"/>
  <c r="AB333" i="1" s="1"/>
  <c r="AC333" i="1" s="1"/>
  <c r="AD333" i="1" s="1"/>
  <c r="AE333" i="1" s="1"/>
  <c r="AF333" i="1" s="1"/>
  <c r="AG333" i="1" s="1"/>
  <c r="AH333" i="1" s="1"/>
  <c r="AI333" i="1" s="1"/>
  <c r="AJ333" i="1" s="1"/>
  <c r="AK333" i="1" s="1"/>
  <c r="AL333" i="1" s="1"/>
  <c r="AM333" i="1" s="1"/>
  <c r="AN333" i="1" s="1"/>
  <c r="AO333" i="1" s="1"/>
  <c r="AP333" i="1" s="1"/>
  <c r="O11" i="31" l="1"/>
  <c r="L9" i="3"/>
  <c r="N12" i="31"/>
  <c r="AC22" i="31"/>
  <c r="AM131" i="1"/>
  <c r="AJ16" i="10"/>
  <c r="K11" i="3"/>
  <c r="N13" i="31"/>
  <c r="M14" i="31"/>
  <c r="M15" i="31" s="1"/>
  <c r="AK22" i="3"/>
  <c r="AK25" i="3" s="1"/>
  <c r="AK32" i="3"/>
  <c r="AC24" i="31"/>
  <c r="AC27" i="31" s="1"/>
  <c r="K33" i="3"/>
  <c r="K45" i="3" s="1"/>
  <c r="K10" i="3"/>
  <c r="I16" i="9"/>
  <c r="I13" i="9"/>
  <c r="I18" i="9"/>
  <c r="I11" i="9"/>
  <c r="I12" i="9"/>
  <c r="I14" i="9"/>
  <c r="I15" i="9"/>
  <c r="I19" i="9"/>
  <c r="AQ347" i="1"/>
  <c r="AQ343" i="1"/>
  <c r="AQ334" i="1"/>
  <c r="AQ338" i="1"/>
  <c r="AQ345" i="1"/>
  <c r="AQ335" i="1"/>
  <c r="AQ333" i="1"/>
  <c r="AQ336" i="1"/>
  <c r="AQ344" i="1"/>
  <c r="AQ339" i="1"/>
  <c r="D6" i="19"/>
  <c r="D6" i="10"/>
  <c r="D6" i="6"/>
  <c r="D6" i="4"/>
  <c r="D6" i="3"/>
  <c r="E6" i="2"/>
  <c r="E44" i="2" s="1"/>
  <c r="C16" i="1"/>
  <c r="I6" i="2" s="1"/>
  <c r="I44" i="2" s="1"/>
  <c r="D30" i="3" l="1"/>
  <c r="AH6" i="3"/>
  <c r="AL6" i="3"/>
  <c r="AP6" i="3"/>
  <c r="AG18" i="3"/>
  <c r="AK18" i="3"/>
  <c r="AO18" i="3"/>
  <c r="AI6" i="3"/>
  <c r="AM6" i="3"/>
  <c r="AQ6" i="3"/>
  <c r="AH18" i="3"/>
  <c r="AL18" i="3"/>
  <c r="AP18" i="3"/>
  <c r="AN6" i="3"/>
  <c r="AN18" i="3"/>
  <c r="AK6" i="3"/>
  <c r="AM18" i="3"/>
  <c r="AG6" i="3"/>
  <c r="AO6" i="3"/>
  <c r="AI18" i="3"/>
  <c r="AQ18" i="3"/>
  <c r="AJ6" i="3"/>
  <c r="AJ18" i="3"/>
  <c r="AK54" i="6"/>
  <c r="AK56" i="6" s="1"/>
  <c r="AK57" i="6" s="1"/>
  <c r="AK59" i="6" s="1"/>
  <c r="AK58" i="3"/>
  <c r="AK60" i="3" s="1"/>
  <c r="D22" i="4"/>
  <c r="AJ6" i="4"/>
  <c r="AN6" i="4"/>
  <c r="AG6" i="4"/>
  <c r="AK6" i="4"/>
  <c r="AO6" i="4"/>
  <c r="AH6" i="4"/>
  <c r="AL6" i="4"/>
  <c r="AP6" i="4"/>
  <c r="AQ6" i="4"/>
  <c r="AI6" i="4"/>
  <c r="AM6" i="4"/>
  <c r="E22" i="31"/>
  <c r="E24" i="31" s="1"/>
  <c r="E27" i="31" s="1"/>
  <c r="AA20" i="3"/>
  <c r="AA22" i="3" s="1"/>
  <c r="P11" i="31"/>
  <c r="M9" i="3"/>
  <c r="O12" i="31"/>
  <c r="D49" i="6"/>
  <c r="AH6" i="6"/>
  <c r="AL6" i="6"/>
  <c r="AP6" i="6"/>
  <c r="AI6" i="6"/>
  <c r="AM6" i="6"/>
  <c r="AQ6" i="6"/>
  <c r="AJ6" i="6"/>
  <c r="AN6" i="6"/>
  <c r="AG6" i="6"/>
  <c r="AK6" i="6"/>
  <c r="AO6" i="6"/>
  <c r="AG6" i="19"/>
  <c r="AK6" i="19"/>
  <c r="AO6" i="19"/>
  <c r="AH6" i="19"/>
  <c r="AL6" i="19"/>
  <c r="AP6" i="19"/>
  <c r="AJ6" i="19"/>
  <c r="AI6" i="19"/>
  <c r="AM6" i="19"/>
  <c r="AQ6" i="19"/>
  <c r="AN6" i="19"/>
  <c r="AH6" i="10"/>
  <c r="AI6" i="10"/>
  <c r="AM6" i="10"/>
  <c r="AG6" i="10"/>
  <c r="AN6" i="10"/>
  <c r="AQ6" i="10"/>
  <c r="AJ6" i="10"/>
  <c r="AO6" i="10"/>
  <c r="AK6" i="10"/>
  <c r="AP6" i="10"/>
  <c r="AL6" i="10"/>
  <c r="AK44" i="3"/>
  <c r="L11" i="3"/>
  <c r="O13" i="31"/>
  <c r="N14" i="31"/>
  <c r="N15" i="31" s="1"/>
  <c r="AN131" i="1"/>
  <c r="AK16" i="10"/>
  <c r="Y22" i="3"/>
  <c r="L33" i="3"/>
  <c r="L45" i="3" s="1"/>
  <c r="L10" i="3"/>
  <c r="Z22" i="3"/>
  <c r="AQ346" i="1"/>
  <c r="AQ341" i="1"/>
  <c r="AQ340" i="1"/>
  <c r="AQ337" i="1"/>
  <c r="AQ342" i="1"/>
  <c r="D42" i="3"/>
  <c r="D56" i="3" s="1"/>
  <c r="E18" i="3"/>
  <c r="D33" i="6"/>
  <c r="M11" i="3" l="1"/>
  <c r="P13" i="31"/>
  <c r="O14" i="31"/>
  <c r="O15" i="31" s="1"/>
  <c r="AG49" i="6"/>
  <c r="AG19" i="6"/>
  <c r="AG33" i="6"/>
  <c r="AM33" i="6"/>
  <c r="AM49" i="6"/>
  <c r="AM19" i="6"/>
  <c r="Q11" i="31"/>
  <c r="N9" i="3"/>
  <c r="P12" i="31"/>
  <c r="AH14" i="4"/>
  <c r="AH22" i="4"/>
  <c r="AN14" i="4"/>
  <c r="AN22" i="4"/>
  <c r="AI30" i="3"/>
  <c r="AI42" i="3"/>
  <c r="AI56" i="3" s="1"/>
  <c r="AO22" i="4"/>
  <c r="AO14" i="4"/>
  <c r="AO131" i="1"/>
  <c r="AL16" i="10"/>
  <c r="AO49" i="6"/>
  <c r="AO19" i="6"/>
  <c r="AO33" i="6"/>
  <c r="AJ33" i="6"/>
  <c r="AJ49" i="6"/>
  <c r="AJ19" i="6"/>
  <c r="AP33" i="6"/>
  <c r="AP49" i="6"/>
  <c r="AP19" i="6"/>
  <c r="AP14" i="4"/>
  <c r="AP22" i="4"/>
  <c r="AK22" i="4"/>
  <c r="AK14" i="4"/>
  <c r="AJ42" i="3"/>
  <c r="AJ56" i="3" s="1"/>
  <c r="AJ30" i="3"/>
  <c r="AG42" i="3"/>
  <c r="AG56" i="3" s="1"/>
  <c r="AG30" i="3"/>
  <c r="AN42" i="3"/>
  <c r="AN56" i="3" s="1"/>
  <c r="AN30" i="3"/>
  <c r="AQ42" i="3"/>
  <c r="AQ56" i="3" s="1"/>
  <c r="AQ30" i="3"/>
  <c r="AH42" i="3"/>
  <c r="AH56" i="3" s="1"/>
  <c r="AH30" i="3"/>
  <c r="AH33" i="6"/>
  <c r="AH49" i="6"/>
  <c r="AH19" i="6"/>
  <c r="AI14" i="4"/>
  <c r="AI22" i="4"/>
  <c r="AK30" i="3"/>
  <c r="AK42" i="3"/>
  <c r="AK56" i="3" s="1"/>
  <c r="AP30" i="3"/>
  <c r="AP42" i="3"/>
  <c r="AP56" i="3" s="1"/>
  <c r="AN33" i="6"/>
  <c r="AN49" i="6"/>
  <c r="AN19" i="6"/>
  <c r="AI33" i="6"/>
  <c r="AI49" i="6"/>
  <c r="AI19" i="6"/>
  <c r="AQ14" i="4"/>
  <c r="AQ22" i="4"/>
  <c r="AJ14" i="4"/>
  <c r="AJ22" i="4"/>
  <c r="AO30" i="3"/>
  <c r="AO42" i="3"/>
  <c r="AO56" i="3" s="1"/>
  <c r="AL42" i="3"/>
  <c r="AL56" i="3" s="1"/>
  <c r="AL30" i="3"/>
  <c r="AK49" i="6"/>
  <c r="AK19" i="6"/>
  <c r="AK33" i="6"/>
  <c r="AQ33" i="6"/>
  <c r="AQ49" i="6"/>
  <c r="AQ19" i="6"/>
  <c r="AL33" i="6"/>
  <c r="AL49" i="6"/>
  <c r="AL19" i="6"/>
  <c r="AM14" i="4"/>
  <c r="AM22" i="4"/>
  <c r="AL22" i="4"/>
  <c r="AL14" i="4"/>
  <c r="AG22" i="4"/>
  <c r="AG14" i="4"/>
  <c r="AM42" i="3"/>
  <c r="AM56" i="3" s="1"/>
  <c r="AM30" i="3"/>
  <c r="M10" i="3"/>
  <c r="M33" i="3"/>
  <c r="M45" i="3" s="1"/>
  <c r="R11" i="31" l="1"/>
  <c r="O9" i="3"/>
  <c r="Q12" i="31"/>
  <c r="N11" i="3"/>
  <c r="Q13" i="31"/>
  <c r="P14" i="31"/>
  <c r="P15" i="31" s="1"/>
  <c r="AP131" i="1"/>
  <c r="AM16" i="10"/>
  <c r="N10" i="3"/>
  <c r="N33" i="3"/>
  <c r="N45" i="3" s="1"/>
  <c r="AQ131" i="1" l="1"/>
  <c r="AN16" i="10"/>
  <c r="O11" i="3"/>
  <c r="Q14" i="31"/>
  <c r="Q15" i="31" s="1"/>
  <c r="R13" i="31"/>
  <c r="S11" i="31"/>
  <c r="P9" i="3"/>
  <c r="R12" i="31"/>
  <c r="O10" i="3"/>
  <c r="O33" i="3"/>
  <c r="O45" i="3" s="1"/>
  <c r="T11" i="31" l="1"/>
  <c r="Q9" i="3"/>
  <c r="S12" i="31"/>
  <c r="P11" i="3"/>
  <c r="S13" i="31"/>
  <c r="R14" i="31"/>
  <c r="R15" i="31" s="1"/>
  <c r="AR131" i="1"/>
  <c r="AO16" i="10"/>
  <c r="P10" i="3"/>
  <c r="P33" i="3"/>
  <c r="P45" i="3" s="1"/>
  <c r="D11" i="10"/>
  <c r="D16" i="10" s="1"/>
  <c r="D10" i="10"/>
  <c r="D12" i="10"/>
  <c r="C10" i="19"/>
  <c r="E55" i="6"/>
  <c r="F55" i="6"/>
  <c r="G55" i="6"/>
  <c r="H55" i="6"/>
  <c r="I55" i="6"/>
  <c r="J55" i="6"/>
  <c r="K55" i="6"/>
  <c r="L55" i="6"/>
  <c r="M55" i="6"/>
  <c r="N55" i="6"/>
  <c r="O55" i="6"/>
  <c r="P55" i="6"/>
  <c r="Q55" i="6"/>
  <c r="R55" i="6"/>
  <c r="S55" i="6"/>
  <c r="T55" i="6"/>
  <c r="U55" i="6"/>
  <c r="V55" i="6"/>
  <c r="W55" i="6"/>
  <c r="X55" i="6"/>
  <c r="Y55" i="6"/>
  <c r="Z55" i="6"/>
  <c r="AA55" i="6"/>
  <c r="AB55" i="6"/>
  <c r="AC55" i="6"/>
  <c r="AD55" i="6"/>
  <c r="AE55" i="6"/>
  <c r="AF55" i="6"/>
  <c r="D55" i="6"/>
  <c r="E39" i="6"/>
  <c r="F39" i="6"/>
  <c r="G39" i="6"/>
  <c r="H39" i="6"/>
  <c r="I39" i="6"/>
  <c r="J39" i="6"/>
  <c r="K39" i="6"/>
  <c r="L39" i="6"/>
  <c r="M39" i="6"/>
  <c r="N39" i="6"/>
  <c r="O39" i="6"/>
  <c r="P39" i="6"/>
  <c r="Q39" i="6"/>
  <c r="R39" i="6"/>
  <c r="S39" i="6"/>
  <c r="T39" i="6"/>
  <c r="U39" i="6"/>
  <c r="V39" i="6"/>
  <c r="W39" i="6"/>
  <c r="X39" i="6"/>
  <c r="Y39" i="6"/>
  <c r="Z39" i="6"/>
  <c r="AA39" i="6"/>
  <c r="AB39" i="6"/>
  <c r="AC39" i="6"/>
  <c r="AD39" i="6"/>
  <c r="AE39" i="6"/>
  <c r="AF39" i="6"/>
  <c r="D39" i="6"/>
  <c r="C27" i="7"/>
  <c r="AS131" i="1" l="1"/>
  <c r="AQ16" i="10" s="1"/>
  <c r="AP16" i="10"/>
  <c r="Q11" i="3"/>
  <c r="S14" i="31"/>
  <c r="S15" i="31" s="1"/>
  <c r="T13" i="31"/>
  <c r="U11" i="31"/>
  <c r="R9" i="3"/>
  <c r="T12" i="31"/>
  <c r="Q10" i="3"/>
  <c r="Q33" i="3"/>
  <c r="Q45" i="3" s="1"/>
  <c r="C39" i="6"/>
  <c r="H53" i="6"/>
  <c r="C55" i="6"/>
  <c r="H37" i="6"/>
  <c r="V11" i="31" l="1"/>
  <c r="S9" i="3"/>
  <c r="U12" i="31"/>
  <c r="R11" i="3"/>
  <c r="T14" i="31"/>
  <c r="T15" i="31" s="1"/>
  <c r="U13" i="31"/>
  <c r="R10" i="3"/>
  <c r="R33" i="3"/>
  <c r="R45" i="3" s="1"/>
  <c r="S11" i="3" l="1"/>
  <c r="V13" i="31"/>
  <c r="U14" i="31"/>
  <c r="U15" i="31" s="1"/>
  <c r="W11" i="31"/>
  <c r="T9" i="3"/>
  <c r="V12" i="31"/>
  <c r="S10" i="3"/>
  <c r="S33" i="3"/>
  <c r="S45" i="3" s="1"/>
  <c r="T11" i="3" l="1"/>
  <c r="W13" i="31"/>
  <c r="V14" i="31"/>
  <c r="V15" i="31" s="1"/>
  <c r="X11" i="31"/>
  <c r="U9" i="3"/>
  <c r="W12" i="31"/>
  <c r="T10" i="3"/>
  <c r="T33" i="3"/>
  <c r="T45" i="3" s="1"/>
  <c r="C11" i="19"/>
  <c r="Y11" i="31" l="1"/>
  <c r="V9" i="3"/>
  <c r="X12" i="31"/>
  <c r="U11" i="3"/>
  <c r="X13" i="31"/>
  <c r="W14" i="31"/>
  <c r="W15" i="31" s="1"/>
  <c r="U10" i="3"/>
  <c r="U33" i="3"/>
  <c r="U45" i="3" s="1"/>
  <c r="V11" i="3" l="1"/>
  <c r="X14" i="31"/>
  <c r="X15" i="31" s="1"/>
  <c r="Y13" i="31"/>
  <c r="Z11" i="31"/>
  <c r="W9" i="3"/>
  <c r="Y12" i="31"/>
  <c r="V10" i="3"/>
  <c r="V33" i="3"/>
  <c r="V45" i="3" s="1"/>
  <c r="E67" i="2"/>
  <c r="F67" i="2"/>
  <c r="D67" i="2"/>
  <c r="D66" i="2"/>
  <c r="D49" i="2"/>
  <c r="E47" i="2"/>
  <c r="F47" i="2"/>
  <c r="D47" i="2"/>
  <c r="E45" i="2"/>
  <c r="F45" i="2"/>
  <c r="D45" i="2"/>
  <c r="E46" i="2"/>
  <c r="F46" i="2"/>
  <c r="D46" i="2"/>
  <c r="AA11" i="31" l="1"/>
  <c r="X9" i="3"/>
  <c r="Z12" i="31"/>
  <c r="W11" i="3"/>
  <c r="Z13" i="31"/>
  <c r="Y14" i="31"/>
  <c r="Y15" i="31" s="1"/>
  <c r="W10" i="3"/>
  <c r="W33" i="3"/>
  <c r="W45" i="3" s="1"/>
  <c r="C51" i="2"/>
  <c r="X11" i="3" l="1"/>
  <c r="AA13" i="31"/>
  <c r="Z14" i="31"/>
  <c r="Z15" i="31" s="1"/>
  <c r="AB11" i="31"/>
  <c r="Y9" i="3"/>
  <c r="AA12" i="31"/>
  <c r="X10" i="3"/>
  <c r="X33" i="3"/>
  <c r="X45" i="3" s="1"/>
  <c r="C265" i="1"/>
  <c r="Y11" i="3" l="1"/>
  <c r="AA14" i="31"/>
  <c r="AA15" i="31" s="1"/>
  <c r="AB13" i="31"/>
  <c r="AC11" i="31"/>
  <c r="Z9" i="3"/>
  <c r="AB12" i="31"/>
  <c r="Y10" i="3"/>
  <c r="Y33" i="3"/>
  <c r="Y45" i="3" s="1"/>
  <c r="D219" i="1"/>
  <c r="D217" i="1"/>
  <c r="D218" i="1"/>
  <c r="D222" i="1"/>
  <c r="D220" i="1"/>
  <c r="D221" i="1"/>
  <c r="AB213" i="1"/>
  <c r="W213" i="1"/>
  <c r="R213" i="1"/>
  <c r="M213" i="1"/>
  <c r="H213" i="1"/>
  <c r="D309" i="1"/>
  <c r="D308" i="1"/>
  <c r="E308" i="1" s="1"/>
  <c r="F308" i="1" s="1"/>
  <c r="G308" i="1" s="1"/>
  <c r="H308" i="1" s="1"/>
  <c r="I308" i="1" s="1"/>
  <c r="J308" i="1" s="1"/>
  <c r="K308" i="1" s="1"/>
  <c r="L308" i="1" s="1"/>
  <c r="M308" i="1" s="1"/>
  <c r="N308" i="1" s="1"/>
  <c r="O308" i="1" s="1"/>
  <c r="P308" i="1" s="1"/>
  <c r="Q308" i="1" s="1"/>
  <c r="R308" i="1" s="1"/>
  <c r="S308" i="1" s="1"/>
  <c r="T308" i="1" s="1"/>
  <c r="U308" i="1" s="1"/>
  <c r="V308" i="1" s="1"/>
  <c r="W308" i="1" s="1"/>
  <c r="X308" i="1" s="1"/>
  <c r="Y308" i="1" s="1"/>
  <c r="Z308" i="1" s="1"/>
  <c r="AA308" i="1" s="1"/>
  <c r="AB308" i="1" s="1"/>
  <c r="AC308" i="1" s="1"/>
  <c r="AD308" i="1" s="1"/>
  <c r="AE308" i="1" s="1"/>
  <c r="AF308" i="1" s="1"/>
  <c r="AG308" i="1" s="1"/>
  <c r="AH308" i="1" s="1"/>
  <c r="AI308" i="1" s="1"/>
  <c r="AJ308" i="1" s="1"/>
  <c r="AK308" i="1" s="1"/>
  <c r="AL308" i="1" s="1"/>
  <c r="AM308" i="1" s="1"/>
  <c r="AN308" i="1" s="1"/>
  <c r="AO308" i="1" s="1"/>
  <c r="AP308" i="1" s="1"/>
  <c r="D307" i="1"/>
  <c r="E307" i="1" s="1"/>
  <c r="F307" i="1" s="1"/>
  <c r="G307" i="1" s="1"/>
  <c r="H307" i="1" s="1"/>
  <c r="I307" i="1" s="1"/>
  <c r="J307" i="1" s="1"/>
  <c r="K307" i="1" s="1"/>
  <c r="L307" i="1" s="1"/>
  <c r="M307" i="1" s="1"/>
  <c r="N307" i="1" s="1"/>
  <c r="O307" i="1" s="1"/>
  <c r="P307" i="1" s="1"/>
  <c r="Q307" i="1" s="1"/>
  <c r="R307" i="1" s="1"/>
  <c r="S307" i="1" s="1"/>
  <c r="T307" i="1" s="1"/>
  <c r="U307" i="1" s="1"/>
  <c r="V307" i="1" s="1"/>
  <c r="W307" i="1" s="1"/>
  <c r="X307" i="1" s="1"/>
  <c r="Y307" i="1" s="1"/>
  <c r="Z307" i="1" s="1"/>
  <c r="AA307" i="1" s="1"/>
  <c r="AB307" i="1" s="1"/>
  <c r="AC307" i="1" s="1"/>
  <c r="AD307" i="1" s="1"/>
  <c r="AE307" i="1" s="1"/>
  <c r="AF307" i="1" s="1"/>
  <c r="AG307" i="1" s="1"/>
  <c r="AH307" i="1" s="1"/>
  <c r="AI307" i="1" s="1"/>
  <c r="AJ307" i="1" s="1"/>
  <c r="AK307" i="1" s="1"/>
  <c r="AL307" i="1" s="1"/>
  <c r="AM307" i="1" s="1"/>
  <c r="AN307" i="1" s="1"/>
  <c r="AO307" i="1" s="1"/>
  <c r="AP307" i="1" s="1"/>
  <c r="D186" i="1"/>
  <c r="D185" i="1"/>
  <c r="D184" i="1"/>
  <c r="D182" i="1"/>
  <c r="D181" i="1"/>
  <c r="D180" i="1"/>
  <c r="AD11" i="31" l="1"/>
  <c r="AA9" i="3"/>
  <c r="AC12" i="31"/>
  <c r="Z11" i="3"/>
  <c r="AC13" i="31"/>
  <c r="AB14" i="31"/>
  <c r="AB15" i="31" s="1"/>
  <c r="Z10" i="3"/>
  <c r="Z33" i="3"/>
  <c r="Z45" i="3" s="1"/>
  <c r="E217" i="1"/>
  <c r="I213" i="1"/>
  <c r="AC213" i="1"/>
  <c r="E180" i="1"/>
  <c r="N213" i="1"/>
  <c r="E222" i="1"/>
  <c r="E186" i="1"/>
  <c r="S213" i="1"/>
  <c r="X213" i="1"/>
  <c r="E221" i="1"/>
  <c r="E220" i="1"/>
  <c r="E218" i="1"/>
  <c r="E219" i="1"/>
  <c r="E182" i="1"/>
  <c r="E184" i="1"/>
  <c r="E181" i="1"/>
  <c r="AQ308" i="1"/>
  <c r="D213" i="1"/>
  <c r="E309" i="1"/>
  <c r="F309" i="1" s="1"/>
  <c r="G309" i="1" s="1"/>
  <c r="H309" i="1" s="1"/>
  <c r="I309" i="1" s="1"/>
  <c r="J309" i="1" s="1"/>
  <c r="K309" i="1" s="1"/>
  <c r="L309" i="1" s="1"/>
  <c r="M309" i="1" s="1"/>
  <c r="N309" i="1" s="1"/>
  <c r="O309" i="1" s="1"/>
  <c r="P309" i="1" s="1"/>
  <c r="Q309" i="1" s="1"/>
  <c r="R309" i="1" s="1"/>
  <c r="S309" i="1" s="1"/>
  <c r="T309" i="1" s="1"/>
  <c r="U309" i="1" s="1"/>
  <c r="V309" i="1" s="1"/>
  <c r="W309" i="1" s="1"/>
  <c r="X309" i="1" s="1"/>
  <c r="Y309" i="1" s="1"/>
  <c r="Z309" i="1" s="1"/>
  <c r="AA309" i="1" s="1"/>
  <c r="AB309" i="1" s="1"/>
  <c r="AC309" i="1" s="1"/>
  <c r="AD309" i="1" s="1"/>
  <c r="AE309" i="1" s="1"/>
  <c r="AF309" i="1" s="1"/>
  <c r="AG309" i="1" s="1"/>
  <c r="AH309" i="1" s="1"/>
  <c r="AI309" i="1" s="1"/>
  <c r="AJ309" i="1" s="1"/>
  <c r="AK309" i="1" s="1"/>
  <c r="AL309" i="1" s="1"/>
  <c r="AM309" i="1" s="1"/>
  <c r="AN309" i="1" s="1"/>
  <c r="AO309" i="1" s="1"/>
  <c r="AP309" i="1" s="1"/>
  <c r="E185" i="1"/>
  <c r="AQ307" i="1"/>
  <c r="D130" i="1"/>
  <c r="DJ258" i="1"/>
  <c r="DK258" i="1" s="1"/>
  <c r="DL258" i="1" s="1"/>
  <c r="DM258" i="1" s="1"/>
  <c r="DN258" i="1" s="1"/>
  <c r="DO258" i="1" s="1"/>
  <c r="DP258" i="1" s="1"/>
  <c r="DQ258" i="1" s="1"/>
  <c r="DR258" i="1" s="1"/>
  <c r="DJ257" i="1"/>
  <c r="DK257" i="1" s="1"/>
  <c r="DL257" i="1" s="1"/>
  <c r="DM257" i="1" s="1"/>
  <c r="DN257" i="1" s="1"/>
  <c r="DO257" i="1" s="1"/>
  <c r="DP257" i="1" s="1"/>
  <c r="DQ257" i="1" s="1"/>
  <c r="DR257" i="1" s="1"/>
  <c r="CZ258" i="1"/>
  <c r="DA258" i="1" s="1"/>
  <c r="DB258" i="1" s="1"/>
  <c r="DC258" i="1" s="1"/>
  <c r="DD258" i="1" s="1"/>
  <c r="DE258" i="1" s="1"/>
  <c r="DF258" i="1" s="1"/>
  <c r="DG258" i="1" s="1"/>
  <c r="DH258" i="1" s="1"/>
  <c r="CZ257" i="1"/>
  <c r="DA257" i="1" s="1"/>
  <c r="DB257" i="1" s="1"/>
  <c r="DC257" i="1" s="1"/>
  <c r="DD257" i="1" s="1"/>
  <c r="DE257" i="1" s="1"/>
  <c r="DF257" i="1" s="1"/>
  <c r="DG257" i="1" s="1"/>
  <c r="DH257" i="1" s="1"/>
  <c r="CP259" i="1"/>
  <c r="CQ259" i="1" s="1"/>
  <c r="CR259" i="1" s="1"/>
  <c r="CS259" i="1" s="1"/>
  <c r="CT259" i="1" s="1"/>
  <c r="CU259" i="1" s="1"/>
  <c r="CV259" i="1" s="1"/>
  <c r="CW259" i="1" s="1"/>
  <c r="CX259" i="1" s="1"/>
  <c r="CP258" i="1"/>
  <c r="CQ258" i="1" s="1"/>
  <c r="CR258" i="1" s="1"/>
  <c r="CS258" i="1" s="1"/>
  <c r="CT258" i="1" s="1"/>
  <c r="CU258" i="1" s="1"/>
  <c r="CV258" i="1" s="1"/>
  <c r="CW258" i="1" s="1"/>
  <c r="CX258" i="1" s="1"/>
  <c r="CP257" i="1"/>
  <c r="CQ257" i="1" s="1"/>
  <c r="CR257" i="1" s="1"/>
  <c r="CS257" i="1" s="1"/>
  <c r="CT257" i="1" s="1"/>
  <c r="CU257" i="1" s="1"/>
  <c r="CV257" i="1" s="1"/>
  <c r="CW257" i="1" s="1"/>
  <c r="CX257" i="1" s="1"/>
  <c r="CF262" i="1"/>
  <c r="CG262" i="1" s="1"/>
  <c r="CH262" i="1" s="1"/>
  <c r="CI262" i="1" s="1"/>
  <c r="CJ262" i="1" s="1"/>
  <c r="CK262" i="1" s="1"/>
  <c r="CL262" i="1" s="1"/>
  <c r="CM262" i="1" s="1"/>
  <c r="CN262" i="1" s="1"/>
  <c r="CF259" i="1"/>
  <c r="CG259" i="1" s="1"/>
  <c r="CH259" i="1" s="1"/>
  <c r="CI259" i="1" s="1"/>
  <c r="CJ259" i="1" s="1"/>
  <c r="CK259" i="1" s="1"/>
  <c r="CL259" i="1" s="1"/>
  <c r="CM259" i="1" s="1"/>
  <c r="CN259" i="1" s="1"/>
  <c r="CF258" i="1"/>
  <c r="CG258" i="1" s="1"/>
  <c r="CH258" i="1" s="1"/>
  <c r="CI258" i="1" s="1"/>
  <c r="CJ258" i="1" s="1"/>
  <c r="CK258" i="1" s="1"/>
  <c r="CL258" i="1" s="1"/>
  <c r="CM258" i="1" s="1"/>
  <c r="CN258" i="1" s="1"/>
  <c r="CF257" i="1"/>
  <c r="CG257" i="1" s="1"/>
  <c r="CH257" i="1" s="1"/>
  <c r="CI257" i="1" s="1"/>
  <c r="CJ257" i="1" s="1"/>
  <c r="CK257" i="1" s="1"/>
  <c r="CL257" i="1" s="1"/>
  <c r="CM257" i="1" s="1"/>
  <c r="CN257" i="1" s="1"/>
  <c r="BV262" i="1"/>
  <c r="BW262" i="1" s="1"/>
  <c r="BX262" i="1" s="1"/>
  <c r="BY262" i="1" s="1"/>
  <c r="BZ262" i="1" s="1"/>
  <c r="CA262" i="1" s="1"/>
  <c r="CB262" i="1" s="1"/>
  <c r="CC262" i="1" s="1"/>
  <c r="CD262" i="1" s="1"/>
  <c r="BV261" i="1"/>
  <c r="BW261" i="1" s="1"/>
  <c r="BX261" i="1" s="1"/>
  <c r="BY261" i="1" s="1"/>
  <c r="BZ261" i="1" s="1"/>
  <c r="CA261" i="1" s="1"/>
  <c r="CB261" i="1" s="1"/>
  <c r="CC261" i="1" s="1"/>
  <c r="CD261" i="1" s="1"/>
  <c r="BV260" i="1"/>
  <c r="BW260" i="1" s="1"/>
  <c r="BX260" i="1" s="1"/>
  <c r="BY260" i="1" s="1"/>
  <c r="BZ260" i="1" s="1"/>
  <c r="CA260" i="1" s="1"/>
  <c r="CB260" i="1" s="1"/>
  <c r="CC260" i="1" s="1"/>
  <c r="CD260" i="1" s="1"/>
  <c r="BV259" i="1"/>
  <c r="BW259" i="1" s="1"/>
  <c r="BX259" i="1" s="1"/>
  <c r="BY259" i="1" s="1"/>
  <c r="BZ259" i="1" s="1"/>
  <c r="CA259" i="1" s="1"/>
  <c r="CB259" i="1" s="1"/>
  <c r="CC259" i="1" s="1"/>
  <c r="CD259" i="1" s="1"/>
  <c r="BV258" i="1"/>
  <c r="BW258" i="1" s="1"/>
  <c r="BX258" i="1" s="1"/>
  <c r="BY258" i="1" s="1"/>
  <c r="BZ258" i="1" s="1"/>
  <c r="CA258" i="1" s="1"/>
  <c r="CB258" i="1" s="1"/>
  <c r="CC258" i="1" s="1"/>
  <c r="CD258" i="1" s="1"/>
  <c r="BV257" i="1"/>
  <c r="BW257" i="1" s="1"/>
  <c r="BX257" i="1" s="1"/>
  <c r="BY257" i="1" s="1"/>
  <c r="BZ257" i="1" s="1"/>
  <c r="CA257" i="1" s="1"/>
  <c r="CB257" i="1" s="1"/>
  <c r="CC257" i="1" s="1"/>
  <c r="CD257" i="1" s="1"/>
  <c r="BL262" i="1"/>
  <c r="BM262" i="1" s="1"/>
  <c r="BN262" i="1" s="1"/>
  <c r="BO262" i="1" s="1"/>
  <c r="BP262" i="1" s="1"/>
  <c r="BQ262" i="1" s="1"/>
  <c r="BR262" i="1" s="1"/>
  <c r="BS262" i="1" s="1"/>
  <c r="BT262" i="1" s="1"/>
  <c r="BL261" i="1"/>
  <c r="BM261" i="1" s="1"/>
  <c r="BN261" i="1" s="1"/>
  <c r="BO261" i="1" s="1"/>
  <c r="BP261" i="1" s="1"/>
  <c r="BQ261" i="1" s="1"/>
  <c r="BR261" i="1" s="1"/>
  <c r="BS261" i="1" s="1"/>
  <c r="BT261" i="1" s="1"/>
  <c r="BL260" i="1"/>
  <c r="BM260" i="1" s="1"/>
  <c r="BN260" i="1" s="1"/>
  <c r="BO260" i="1" s="1"/>
  <c r="BP260" i="1" s="1"/>
  <c r="BQ260" i="1" s="1"/>
  <c r="BR260" i="1" s="1"/>
  <c r="BS260" i="1" s="1"/>
  <c r="BT260" i="1" s="1"/>
  <c r="BL259" i="1"/>
  <c r="BM259" i="1" s="1"/>
  <c r="BN259" i="1" s="1"/>
  <c r="BO259" i="1" s="1"/>
  <c r="BP259" i="1" s="1"/>
  <c r="BQ259" i="1" s="1"/>
  <c r="BR259" i="1" s="1"/>
  <c r="BS259" i="1" s="1"/>
  <c r="BT259" i="1" s="1"/>
  <c r="BL258" i="1"/>
  <c r="BM258" i="1" s="1"/>
  <c r="BN258" i="1" s="1"/>
  <c r="BO258" i="1" s="1"/>
  <c r="BP258" i="1" s="1"/>
  <c r="BQ258" i="1" s="1"/>
  <c r="BR258" i="1" s="1"/>
  <c r="BS258" i="1" s="1"/>
  <c r="BT258" i="1" s="1"/>
  <c r="BL257" i="1"/>
  <c r="BM257" i="1" s="1"/>
  <c r="BN257" i="1" s="1"/>
  <c r="BO257" i="1" s="1"/>
  <c r="BP257" i="1" s="1"/>
  <c r="BQ257" i="1" s="1"/>
  <c r="BR257" i="1" s="1"/>
  <c r="BS257" i="1" s="1"/>
  <c r="BT257" i="1" s="1"/>
  <c r="BB262" i="1"/>
  <c r="BC262" i="1" s="1"/>
  <c r="BD262" i="1" s="1"/>
  <c r="BE262" i="1" s="1"/>
  <c r="BF262" i="1" s="1"/>
  <c r="BG262" i="1" s="1"/>
  <c r="BH262" i="1" s="1"/>
  <c r="BI262" i="1" s="1"/>
  <c r="BJ262" i="1" s="1"/>
  <c r="BB261" i="1"/>
  <c r="BC261" i="1" s="1"/>
  <c r="BD261" i="1" s="1"/>
  <c r="BE261" i="1" s="1"/>
  <c r="BF261" i="1" s="1"/>
  <c r="BG261" i="1" s="1"/>
  <c r="BH261" i="1" s="1"/>
  <c r="BI261" i="1" s="1"/>
  <c r="BJ261" i="1" s="1"/>
  <c r="BB260" i="1"/>
  <c r="BC260" i="1" s="1"/>
  <c r="BD260" i="1" s="1"/>
  <c r="BE260" i="1" s="1"/>
  <c r="BF260" i="1" s="1"/>
  <c r="BG260" i="1" s="1"/>
  <c r="BH260" i="1" s="1"/>
  <c r="BI260" i="1" s="1"/>
  <c r="BJ260" i="1" s="1"/>
  <c r="BB259" i="1"/>
  <c r="BC259" i="1" s="1"/>
  <c r="BD259" i="1" s="1"/>
  <c r="BE259" i="1" s="1"/>
  <c r="BF259" i="1" s="1"/>
  <c r="BG259" i="1" s="1"/>
  <c r="BH259" i="1" s="1"/>
  <c r="BI259" i="1" s="1"/>
  <c r="BJ259" i="1" s="1"/>
  <c r="BB258" i="1"/>
  <c r="BC258" i="1" s="1"/>
  <c r="BD258" i="1" s="1"/>
  <c r="BE258" i="1" s="1"/>
  <c r="BF258" i="1" s="1"/>
  <c r="BG258" i="1" s="1"/>
  <c r="BH258" i="1" s="1"/>
  <c r="BI258" i="1" s="1"/>
  <c r="BJ258" i="1" s="1"/>
  <c r="BB257" i="1"/>
  <c r="BC257" i="1" s="1"/>
  <c r="BD257" i="1" s="1"/>
  <c r="BE257" i="1" s="1"/>
  <c r="BF257" i="1" s="1"/>
  <c r="BG257" i="1" s="1"/>
  <c r="BH257" i="1" s="1"/>
  <c r="BI257" i="1" s="1"/>
  <c r="BJ257" i="1" s="1"/>
  <c r="AR262" i="1"/>
  <c r="AS262" i="1" s="1"/>
  <c r="AT262" i="1" s="1"/>
  <c r="AU262" i="1" s="1"/>
  <c r="AV262" i="1" s="1"/>
  <c r="AW262" i="1" s="1"/>
  <c r="AX262" i="1" s="1"/>
  <c r="AY262" i="1" s="1"/>
  <c r="AZ262" i="1" s="1"/>
  <c r="AR261" i="1"/>
  <c r="AS261" i="1" s="1"/>
  <c r="AT261" i="1" s="1"/>
  <c r="AU261" i="1" s="1"/>
  <c r="AV261" i="1" s="1"/>
  <c r="AW261" i="1" s="1"/>
  <c r="AX261" i="1" s="1"/>
  <c r="AY261" i="1" s="1"/>
  <c r="AZ261" i="1" s="1"/>
  <c r="AR260" i="1"/>
  <c r="AS260" i="1" s="1"/>
  <c r="AT260" i="1" s="1"/>
  <c r="AU260" i="1" s="1"/>
  <c r="AV260" i="1" s="1"/>
  <c r="AW260" i="1" s="1"/>
  <c r="AX260" i="1" s="1"/>
  <c r="AY260" i="1" s="1"/>
  <c r="AZ260" i="1" s="1"/>
  <c r="AR259" i="1"/>
  <c r="AS259" i="1" s="1"/>
  <c r="AT259" i="1" s="1"/>
  <c r="AU259" i="1" s="1"/>
  <c r="AV259" i="1" s="1"/>
  <c r="AW259" i="1" s="1"/>
  <c r="AX259" i="1" s="1"/>
  <c r="AY259" i="1" s="1"/>
  <c r="AZ259" i="1" s="1"/>
  <c r="AR258" i="1"/>
  <c r="AS258" i="1" s="1"/>
  <c r="AT258" i="1" s="1"/>
  <c r="AU258" i="1" s="1"/>
  <c r="AV258" i="1" s="1"/>
  <c r="AW258" i="1" s="1"/>
  <c r="AX258" i="1" s="1"/>
  <c r="AY258" i="1" s="1"/>
  <c r="AZ258" i="1" s="1"/>
  <c r="AR257" i="1"/>
  <c r="AS257" i="1" s="1"/>
  <c r="AT257" i="1" s="1"/>
  <c r="AU257" i="1" s="1"/>
  <c r="AV257" i="1" s="1"/>
  <c r="AW257" i="1" s="1"/>
  <c r="AX257" i="1" s="1"/>
  <c r="AY257" i="1" s="1"/>
  <c r="AZ257" i="1" s="1"/>
  <c r="AH262" i="1"/>
  <c r="AI262" i="1" s="1"/>
  <c r="AJ262" i="1" s="1"/>
  <c r="AK262" i="1" s="1"/>
  <c r="AL262" i="1" s="1"/>
  <c r="AM262" i="1" s="1"/>
  <c r="AN262" i="1" s="1"/>
  <c r="AO262" i="1" s="1"/>
  <c r="AP262" i="1" s="1"/>
  <c r="AH261" i="1"/>
  <c r="AI261" i="1" s="1"/>
  <c r="AJ261" i="1" s="1"/>
  <c r="AK261" i="1" s="1"/>
  <c r="AL261" i="1" s="1"/>
  <c r="AM261" i="1" s="1"/>
  <c r="AN261" i="1" s="1"/>
  <c r="AO261" i="1" s="1"/>
  <c r="AP261" i="1" s="1"/>
  <c r="AH260" i="1"/>
  <c r="AI260" i="1" s="1"/>
  <c r="AJ260" i="1" s="1"/>
  <c r="AK260" i="1" s="1"/>
  <c r="AL260" i="1" s="1"/>
  <c r="AM260" i="1" s="1"/>
  <c r="AN260" i="1" s="1"/>
  <c r="AO260" i="1" s="1"/>
  <c r="AP260" i="1" s="1"/>
  <c r="AH259" i="1"/>
  <c r="AI259" i="1" s="1"/>
  <c r="AJ259" i="1" s="1"/>
  <c r="AK259" i="1" s="1"/>
  <c r="AL259" i="1" s="1"/>
  <c r="AM259" i="1" s="1"/>
  <c r="AN259" i="1" s="1"/>
  <c r="AO259" i="1" s="1"/>
  <c r="AP259" i="1" s="1"/>
  <c r="AH258" i="1"/>
  <c r="AI258" i="1" s="1"/>
  <c r="AJ258" i="1" s="1"/>
  <c r="AK258" i="1" s="1"/>
  <c r="AL258" i="1" s="1"/>
  <c r="AM258" i="1" s="1"/>
  <c r="AN258" i="1" s="1"/>
  <c r="AO258" i="1" s="1"/>
  <c r="AP258" i="1" s="1"/>
  <c r="AH257" i="1"/>
  <c r="AI257" i="1" s="1"/>
  <c r="AJ257" i="1" s="1"/>
  <c r="AK257" i="1" s="1"/>
  <c r="AL257" i="1" s="1"/>
  <c r="AM257" i="1" s="1"/>
  <c r="AN257" i="1" s="1"/>
  <c r="AO257" i="1" s="1"/>
  <c r="AP257" i="1" s="1"/>
  <c r="X262" i="1"/>
  <c r="Y262" i="1" s="1"/>
  <c r="Z262" i="1" s="1"/>
  <c r="AA262" i="1" s="1"/>
  <c r="AB262" i="1" s="1"/>
  <c r="AC262" i="1" s="1"/>
  <c r="AD262" i="1" s="1"/>
  <c r="AE262" i="1" s="1"/>
  <c r="AF262" i="1" s="1"/>
  <c r="X261" i="1"/>
  <c r="Y261" i="1" s="1"/>
  <c r="Z261" i="1" s="1"/>
  <c r="AA261" i="1" s="1"/>
  <c r="AB261" i="1" s="1"/>
  <c r="AC261" i="1" s="1"/>
  <c r="AD261" i="1" s="1"/>
  <c r="AE261" i="1" s="1"/>
  <c r="AF261" i="1" s="1"/>
  <c r="X260" i="1"/>
  <c r="Y260" i="1" s="1"/>
  <c r="Z260" i="1" s="1"/>
  <c r="AA260" i="1" s="1"/>
  <c r="AB260" i="1" s="1"/>
  <c r="AC260" i="1" s="1"/>
  <c r="AD260" i="1" s="1"/>
  <c r="AE260" i="1" s="1"/>
  <c r="AF260" i="1" s="1"/>
  <c r="X259" i="1"/>
  <c r="Y259" i="1" s="1"/>
  <c r="Z259" i="1" s="1"/>
  <c r="AA259" i="1" s="1"/>
  <c r="AB259" i="1" s="1"/>
  <c r="AC259" i="1" s="1"/>
  <c r="AD259" i="1" s="1"/>
  <c r="AE259" i="1" s="1"/>
  <c r="AF259" i="1" s="1"/>
  <c r="X258" i="1"/>
  <c r="Y258" i="1" s="1"/>
  <c r="Z258" i="1" s="1"/>
  <c r="AA258" i="1" s="1"/>
  <c r="AB258" i="1" s="1"/>
  <c r="AC258" i="1" s="1"/>
  <c r="AD258" i="1" s="1"/>
  <c r="AE258" i="1" s="1"/>
  <c r="AF258" i="1" s="1"/>
  <c r="X257" i="1"/>
  <c r="Y257" i="1" s="1"/>
  <c r="Z257" i="1" s="1"/>
  <c r="AA257" i="1" s="1"/>
  <c r="AB257" i="1" s="1"/>
  <c r="AC257" i="1" s="1"/>
  <c r="AD257" i="1" s="1"/>
  <c r="AE257" i="1" s="1"/>
  <c r="AF257" i="1" s="1"/>
  <c r="N262" i="1"/>
  <c r="O262" i="1" s="1"/>
  <c r="P262" i="1" s="1"/>
  <c r="Q262" i="1" s="1"/>
  <c r="R262" i="1" s="1"/>
  <c r="S262" i="1" s="1"/>
  <c r="T262" i="1" s="1"/>
  <c r="U262" i="1" s="1"/>
  <c r="V262" i="1" s="1"/>
  <c r="N261" i="1"/>
  <c r="O261" i="1" s="1"/>
  <c r="P261" i="1" s="1"/>
  <c r="Q261" i="1" s="1"/>
  <c r="R261" i="1" s="1"/>
  <c r="S261" i="1" s="1"/>
  <c r="T261" i="1" s="1"/>
  <c r="U261" i="1" s="1"/>
  <c r="V261" i="1" s="1"/>
  <c r="N260" i="1"/>
  <c r="O260" i="1" s="1"/>
  <c r="P260" i="1" s="1"/>
  <c r="Q260" i="1" s="1"/>
  <c r="R260" i="1" s="1"/>
  <c r="S260" i="1" s="1"/>
  <c r="T260" i="1" s="1"/>
  <c r="U260" i="1" s="1"/>
  <c r="V260" i="1" s="1"/>
  <c r="N259" i="1"/>
  <c r="O259" i="1" s="1"/>
  <c r="P259" i="1" s="1"/>
  <c r="Q259" i="1" s="1"/>
  <c r="R259" i="1" s="1"/>
  <c r="S259" i="1" s="1"/>
  <c r="T259" i="1" s="1"/>
  <c r="U259" i="1" s="1"/>
  <c r="V259" i="1" s="1"/>
  <c r="N258" i="1"/>
  <c r="O258" i="1" s="1"/>
  <c r="P258" i="1" s="1"/>
  <c r="Q258" i="1" s="1"/>
  <c r="R258" i="1" s="1"/>
  <c r="S258" i="1" s="1"/>
  <c r="T258" i="1" s="1"/>
  <c r="U258" i="1" s="1"/>
  <c r="V258" i="1" s="1"/>
  <c r="N257" i="1"/>
  <c r="O257" i="1" s="1"/>
  <c r="P257" i="1" s="1"/>
  <c r="Q257" i="1" s="1"/>
  <c r="R257" i="1" s="1"/>
  <c r="S257" i="1" s="1"/>
  <c r="T257" i="1" s="1"/>
  <c r="U257" i="1" s="1"/>
  <c r="V257" i="1" s="1"/>
  <c r="D262" i="1"/>
  <c r="E262" i="1" s="1"/>
  <c r="F262" i="1" s="1"/>
  <c r="G262" i="1" s="1"/>
  <c r="H262" i="1" s="1"/>
  <c r="I262" i="1" s="1"/>
  <c r="J262" i="1" s="1"/>
  <c r="K262" i="1" s="1"/>
  <c r="L262" i="1" s="1"/>
  <c r="D261" i="1"/>
  <c r="E261" i="1" s="1"/>
  <c r="F261" i="1" s="1"/>
  <c r="G261" i="1" s="1"/>
  <c r="H261" i="1" s="1"/>
  <c r="I261" i="1" s="1"/>
  <c r="J261" i="1" s="1"/>
  <c r="K261" i="1" s="1"/>
  <c r="L261" i="1" s="1"/>
  <c r="D260" i="1"/>
  <c r="E260" i="1" s="1"/>
  <c r="F260" i="1" s="1"/>
  <c r="G260" i="1" s="1"/>
  <c r="H260" i="1" s="1"/>
  <c r="I260" i="1" s="1"/>
  <c r="J260" i="1" s="1"/>
  <c r="K260" i="1" s="1"/>
  <c r="L260" i="1" s="1"/>
  <c r="D259" i="1"/>
  <c r="E259" i="1" s="1"/>
  <c r="F259" i="1" s="1"/>
  <c r="G259" i="1" s="1"/>
  <c r="H259" i="1" s="1"/>
  <c r="I259" i="1" s="1"/>
  <c r="J259" i="1" s="1"/>
  <c r="K259" i="1" s="1"/>
  <c r="L259" i="1" s="1"/>
  <c r="D258" i="1"/>
  <c r="E258" i="1" s="1"/>
  <c r="F258" i="1" s="1"/>
  <c r="G258" i="1" s="1"/>
  <c r="H258" i="1" s="1"/>
  <c r="I258" i="1" s="1"/>
  <c r="J258" i="1" s="1"/>
  <c r="K258" i="1" s="1"/>
  <c r="L258" i="1" s="1"/>
  <c r="D257" i="1"/>
  <c r="E257" i="1" s="1"/>
  <c r="F257" i="1" s="1"/>
  <c r="G257" i="1" s="1"/>
  <c r="H257" i="1" s="1"/>
  <c r="I257" i="1" s="1"/>
  <c r="J257" i="1" s="1"/>
  <c r="K257" i="1" s="1"/>
  <c r="L257" i="1" s="1"/>
  <c r="AA11" i="3" l="1"/>
  <c r="AC14" i="31"/>
  <c r="AC15" i="31" s="1"/>
  <c r="AD13" i="31"/>
  <c r="AE11" i="31"/>
  <c r="AB9" i="3"/>
  <c r="AD12" i="31"/>
  <c r="AA10" i="3"/>
  <c r="AA33" i="3"/>
  <c r="AA45" i="3" s="1"/>
  <c r="F185" i="1"/>
  <c r="E213" i="1"/>
  <c r="F184" i="1"/>
  <c r="F218" i="1"/>
  <c r="F220" i="1"/>
  <c r="Y213" i="1"/>
  <c r="AD213" i="1"/>
  <c r="F219" i="1"/>
  <c r="T213" i="1"/>
  <c r="F217" i="1"/>
  <c r="F182" i="1"/>
  <c r="F221" i="1"/>
  <c r="F222" i="1"/>
  <c r="F180" i="1"/>
  <c r="J213" i="1"/>
  <c r="F181" i="1"/>
  <c r="F186" i="1"/>
  <c r="O213" i="1"/>
  <c r="AQ309" i="1"/>
  <c r="E130" i="1"/>
  <c r="F124" i="1"/>
  <c r="F125" i="1"/>
  <c r="F126" i="1"/>
  <c r="F123" i="1"/>
  <c r="AF11" i="31" l="1"/>
  <c r="AC9" i="3"/>
  <c r="AE12" i="31"/>
  <c r="AB11" i="3"/>
  <c r="AE13" i="31"/>
  <c r="AD14" i="31"/>
  <c r="AD15" i="31" s="1"/>
  <c r="AB10" i="3"/>
  <c r="AB33" i="3"/>
  <c r="AB45" i="3" s="1"/>
  <c r="G182" i="1"/>
  <c r="P213" i="1"/>
  <c r="G186" i="1"/>
  <c r="G181" i="1"/>
  <c r="K213" i="1"/>
  <c r="G180" i="1"/>
  <c r="G217" i="1"/>
  <c r="G219" i="1"/>
  <c r="AE213" i="1"/>
  <c r="G220" i="1"/>
  <c r="G221" i="1"/>
  <c r="G184" i="1"/>
  <c r="G185" i="1"/>
  <c r="Z213" i="1"/>
  <c r="G222" i="1"/>
  <c r="U213" i="1"/>
  <c r="G218" i="1"/>
  <c r="F213" i="1"/>
  <c r="AC11" i="3" l="1"/>
  <c r="AE14" i="31"/>
  <c r="AE15" i="31" s="1"/>
  <c r="AF13" i="31"/>
  <c r="AG11" i="31"/>
  <c r="AD9" i="3"/>
  <c r="AF12" i="31"/>
  <c r="AC10" i="3"/>
  <c r="AC33" i="3"/>
  <c r="AC45" i="3" s="1"/>
  <c r="AC12" i="3"/>
  <c r="H185" i="1"/>
  <c r="H180" i="1"/>
  <c r="H222" i="1"/>
  <c r="H218" i="1"/>
  <c r="H221" i="1"/>
  <c r="H186" i="1"/>
  <c r="H217" i="1"/>
  <c r="H181" i="1"/>
  <c r="H182" i="1"/>
  <c r="AQ213" i="1"/>
  <c r="H219" i="1"/>
  <c r="H184" i="1"/>
  <c r="H220" i="1"/>
  <c r="D18" i="3"/>
  <c r="E6" i="4"/>
  <c r="F18" i="3"/>
  <c r="D132" i="1"/>
  <c r="F130" i="1"/>
  <c r="D15" i="10" s="1"/>
  <c r="F7" i="9"/>
  <c r="G7" i="9" s="1"/>
  <c r="G6" i="19"/>
  <c r="H6" i="19"/>
  <c r="I6" i="19"/>
  <c r="J6" i="19"/>
  <c r="K6" i="19"/>
  <c r="L6" i="19"/>
  <c r="M6" i="19"/>
  <c r="N6" i="19"/>
  <c r="O6" i="19"/>
  <c r="P6" i="19"/>
  <c r="Q6" i="19"/>
  <c r="R6" i="19"/>
  <c r="S6" i="19"/>
  <c r="T6" i="19"/>
  <c r="U6" i="19"/>
  <c r="V6" i="19"/>
  <c r="W6" i="19"/>
  <c r="X6" i="19"/>
  <c r="Y6" i="19"/>
  <c r="Z6" i="19"/>
  <c r="AA6" i="19"/>
  <c r="AB6" i="19"/>
  <c r="AC6" i="19"/>
  <c r="AD6" i="19"/>
  <c r="AE6" i="19"/>
  <c r="AF6" i="19"/>
  <c r="C8" i="10"/>
  <c r="C7" i="10"/>
  <c r="T6" i="10"/>
  <c r="U6" i="10"/>
  <c r="V6" i="10"/>
  <c r="W6" i="10"/>
  <c r="X6" i="10"/>
  <c r="Y6" i="10"/>
  <c r="Z6" i="10"/>
  <c r="AA6" i="10"/>
  <c r="AB6" i="10"/>
  <c r="AC6" i="10"/>
  <c r="AD6" i="10"/>
  <c r="AE6" i="10"/>
  <c r="AF6" i="10"/>
  <c r="G6" i="10"/>
  <c r="H6" i="10"/>
  <c r="I6" i="10"/>
  <c r="J6" i="10"/>
  <c r="K6" i="10"/>
  <c r="L6" i="10"/>
  <c r="M6" i="10"/>
  <c r="N6" i="10"/>
  <c r="O6" i="10"/>
  <c r="P6" i="10"/>
  <c r="Q6" i="10"/>
  <c r="R6" i="10"/>
  <c r="S6" i="10"/>
  <c r="AF24" i="4"/>
  <c r="AE24" i="4"/>
  <c r="AD24" i="4"/>
  <c r="AC24" i="4"/>
  <c r="AB24" i="4"/>
  <c r="AA24" i="4"/>
  <c r="Z24" i="4"/>
  <c r="Y24" i="4"/>
  <c r="X24" i="4"/>
  <c r="W24" i="4"/>
  <c r="V24" i="4"/>
  <c r="U24" i="4"/>
  <c r="T24" i="4"/>
  <c r="S24" i="4"/>
  <c r="R24" i="4"/>
  <c r="Q24" i="4"/>
  <c r="P24" i="4"/>
  <c r="O24" i="4"/>
  <c r="N24" i="4"/>
  <c r="M24" i="4"/>
  <c r="L24" i="4"/>
  <c r="K24" i="4"/>
  <c r="J24" i="4"/>
  <c r="I24" i="4"/>
  <c r="H24" i="4"/>
  <c r="G24" i="4"/>
  <c r="F24" i="4"/>
  <c r="E24" i="4"/>
  <c r="D24" i="4"/>
  <c r="AF23" i="4"/>
  <c r="AE23" i="4"/>
  <c r="AE25" i="4" s="1"/>
  <c r="AD23" i="4"/>
  <c r="AC23" i="4"/>
  <c r="AB23" i="4"/>
  <c r="AA23" i="4"/>
  <c r="Z23" i="4"/>
  <c r="Y23" i="4"/>
  <c r="X23" i="4"/>
  <c r="W23" i="4"/>
  <c r="W25" i="4" s="1"/>
  <c r="V23" i="4"/>
  <c r="U23" i="4"/>
  <c r="T23" i="4"/>
  <c r="S23" i="4"/>
  <c r="R23" i="4"/>
  <c r="Q23" i="4"/>
  <c r="P23" i="4"/>
  <c r="O23" i="4"/>
  <c r="O25" i="4" s="1"/>
  <c r="N23" i="4"/>
  <c r="M23" i="4"/>
  <c r="L23" i="4"/>
  <c r="K23" i="4"/>
  <c r="J23" i="4"/>
  <c r="I23" i="4"/>
  <c r="H23" i="4"/>
  <c r="G23" i="4"/>
  <c r="G25" i="4" s="1"/>
  <c r="F23" i="4"/>
  <c r="E23" i="4"/>
  <c r="D23" i="4"/>
  <c r="AF17" i="4"/>
  <c r="AF51" i="6" s="1"/>
  <c r="AF52" i="6" s="1"/>
  <c r="AE17" i="4"/>
  <c r="AE51" i="6" s="1"/>
  <c r="AE52" i="6" s="1"/>
  <c r="AD17" i="4"/>
  <c r="AD51" i="6" s="1"/>
  <c r="AD52" i="6" s="1"/>
  <c r="AC17" i="4"/>
  <c r="AC51" i="6" s="1"/>
  <c r="AC52" i="6" s="1"/>
  <c r="AB17" i="4"/>
  <c r="AB51" i="6" s="1"/>
  <c r="AB52" i="6" s="1"/>
  <c r="AA17" i="4"/>
  <c r="AA51" i="6" s="1"/>
  <c r="AA52" i="6" s="1"/>
  <c r="Z17" i="4"/>
  <c r="Z51" i="6" s="1"/>
  <c r="Z52" i="6" s="1"/>
  <c r="Y17" i="4"/>
  <c r="Y51" i="6" s="1"/>
  <c r="Y52" i="6" s="1"/>
  <c r="X17" i="4"/>
  <c r="X51" i="6" s="1"/>
  <c r="X52" i="6" s="1"/>
  <c r="W17" i="4"/>
  <c r="W51" i="6" s="1"/>
  <c r="W52" i="6" s="1"/>
  <c r="V17" i="4"/>
  <c r="V51" i="6" s="1"/>
  <c r="V52" i="6" s="1"/>
  <c r="U17" i="4"/>
  <c r="U51" i="6" s="1"/>
  <c r="U52" i="6" s="1"/>
  <c r="T17" i="4"/>
  <c r="T51" i="6" s="1"/>
  <c r="T52" i="6" s="1"/>
  <c r="S17" i="4"/>
  <c r="S51" i="6" s="1"/>
  <c r="S52" i="6" s="1"/>
  <c r="R17" i="4"/>
  <c r="R51" i="6" s="1"/>
  <c r="R52" i="6" s="1"/>
  <c r="Q17" i="4"/>
  <c r="Q51" i="6" s="1"/>
  <c r="Q52" i="6" s="1"/>
  <c r="P17" i="4"/>
  <c r="P51" i="6" s="1"/>
  <c r="P52" i="6" s="1"/>
  <c r="O17" i="4"/>
  <c r="O51" i="6" s="1"/>
  <c r="O52" i="6" s="1"/>
  <c r="N17" i="4"/>
  <c r="N51" i="6" s="1"/>
  <c r="N52" i="6" s="1"/>
  <c r="M17" i="4"/>
  <c r="M51" i="6" s="1"/>
  <c r="M52" i="6" s="1"/>
  <c r="L17" i="4"/>
  <c r="L51" i="6" s="1"/>
  <c r="L52" i="6" s="1"/>
  <c r="K17" i="4"/>
  <c r="K51" i="6" s="1"/>
  <c r="K52" i="6" s="1"/>
  <c r="J17" i="4"/>
  <c r="J51" i="6" s="1"/>
  <c r="J52" i="6" s="1"/>
  <c r="I17" i="4"/>
  <c r="I51" i="6" s="1"/>
  <c r="I52" i="6" s="1"/>
  <c r="H17" i="4"/>
  <c r="H51" i="6" s="1"/>
  <c r="G17" i="4"/>
  <c r="G51" i="6" s="1"/>
  <c r="F17" i="4"/>
  <c r="F51" i="6" s="1"/>
  <c r="E17" i="4"/>
  <c r="E51" i="6" s="1"/>
  <c r="D17" i="4"/>
  <c r="D51" i="6" s="1"/>
  <c r="AF9" i="4"/>
  <c r="AE9" i="4"/>
  <c r="AD9" i="4"/>
  <c r="AC9" i="4"/>
  <c r="AB9" i="4"/>
  <c r="AA9" i="4"/>
  <c r="Z9" i="4"/>
  <c r="Y9" i="4"/>
  <c r="X9" i="4"/>
  <c r="W9" i="4"/>
  <c r="V9" i="4"/>
  <c r="U9" i="4"/>
  <c r="T9" i="4"/>
  <c r="S9" i="4"/>
  <c r="R9" i="4"/>
  <c r="Q9" i="4"/>
  <c r="P9" i="4"/>
  <c r="O9" i="4"/>
  <c r="N9" i="4"/>
  <c r="M9" i="4"/>
  <c r="L9" i="4"/>
  <c r="K9" i="4"/>
  <c r="J9" i="4"/>
  <c r="I9" i="4"/>
  <c r="H9" i="4"/>
  <c r="G9" i="4"/>
  <c r="F9" i="4"/>
  <c r="E9" i="4"/>
  <c r="D9" i="4"/>
  <c r="D57" i="3" s="1"/>
  <c r="D59" i="3" s="1"/>
  <c r="C16" i="4"/>
  <c r="C15" i="4"/>
  <c r="C8" i="4"/>
  <c r="C7" i="4"/>
  <c r="F48" i="2"/>
  <c r="E48" i="2"/>
  <c r="D48" i="2"/>
  <c r="D68" i="2" s="1"/>
  <c r="D7" i="19" s="1"/>
  <c r="C67" i="2"/>
  <c r="C65" i="2"/>
  <c r="C64" i="2"/>
  <c r="C53" i="2"/>
  <c r="C52" i="2"/>
  <c r="C50" i="2"/>
  <c r="C49" i="2"/>
  <c r="C47" i="2"/>
  <c r="C46" i="2"/>
  <c r="C45" i="2"/>
  <c r="F10" i="2"/>
  <c r="E10" i="2"/>
  <c r="D10" i="2"/>
  <c r="C29" i="2"/>
  <c r="C27" i="2"/>
  <c r="C26" i="2"/>
  <c r="C13" i="2"/>
  <c r="C25" i="2"/>
  <c r="H21" i="9" s="1"/>
  <c r="C24" i="2"/>
  <c r="H20" i="9" s="1"/>
  <c r="C12" i="2"/>
  <c r="C11" i="2"/>
  <c r="C9" i="2"/>
  <c r="C8" i="2"/>
  <c r="C7" i="2"/>
  <c r="AB35" i="3"/>
  <c r="AB47" i="3" s="1"/>
  <c r="AA35" i="3"/>
  <c r="AA47" i="3" s="1"/>
  <c r="Z35" i="3"/>
  <c r="Y35" i="3"/>
  <c r="Y47" i="3" s="1"/>
  <c r="X35" i="3"/>
  <c r="X47" i="3" s="1"/>
  <c r="W35" i="3"/>
  <c r="W47" i="3" s="1"/>
  <c r="V35" i="3"/>
  <c r="U35" i="3"/>
  <c r="U47" i="3" s="1"/>
  <c r="T35" i="3"/>
  <c r="T47" i="3" s="1"/>
  <c r="S35" i="3"/>
  <c r="S47" i="3" s="1"/>
  <c r="R35" i="3"/>
  <c r="Q35" i="3"/>
  <c r="Q47" i="3" s="1"/>
  <c r="P35" i="3"/>
  <c r="P47" i="3" s="1"/>
  <c r="O35" i="3"/>
  <c r="O47" i="3" s="1"/>
  <c r="N35" i="3"/>
  <c r="M35" i="3"/>
  <c r="M47" i="3" s="1"/>
  <c r="L35" i="3"/>
  <c r="L47" i="3" s="1"/>
  <c r="K35" i="3"/>
  <c r="K47" i="3" s="1"/>
  <c r="J35" i="3"/>
  <c r="I35" i="3"/>
  <c r="I47" i="3" s="1"/>
  <c r="H35" i="3"/>
  <c r="H47" i="3" s="1"/>
  <c r="G35" i="3"/>
  <c r="G47" i="3" s="1"/>
  <c r="F35" i="3"/>
  <c r="E35" i="3"/>
  <c r="E47" i="3" s="1"/>
  <c r="D35" i="3"/>
  <c r="D47" i="3" s="1"/>
  <c r="AF32" i="3"/>
  <c r="AF44" i="3" s="1"/>
  <c r="AE32" i="3"/>
  <c r="AE44" i="3" s="1"/>
  <c r="AD32" i="3"/>
  <c r="AD44" i="3" s="1"/>
  <c r="AC32" i="3"/>
  <c r="AC44" i="3" s="1"/>
  <c r="AB32" i="3"/>
  <c r="AB44" i="3" s="1"/>
  <c r="AA32" i="3"/>
  <c r="AA44" i="3" s="1"/>
  <c r="Z32" i="3"/>
  <c r="Z44" i="3" s="1"/>
  <c r="Y32" i="3"/>
  <c r="Y44" i="3" s="1"/>
  <c r="X32" i="3"/>
  <c r="X44" i="3" s="1"/>
  <c r="W32" i="3"/>
  <c r="W44" i="3" s="1"/>
  <c r="V32" i="3"/>
  <c r="V44" i="3" s="1"/>
  <c r="U32" i="3"/>
  <c r="U44" i="3" s="1"/>
  <c r="T32" i="3"/>
  <c r="T44" i="3" s="1"/>
  <c r="S32" i="3"/>
  <c r="S44" i="3" s="1"/>
  <c r="R32" i="3"/>
  <c r="R44" i="3" s="1"/>
  <c r="Q32" i="3"/>
  <c r="Q44" i="3" s="1"/>
  <c r="P32" i="3"/>
  <c r="P44" i="3" s="1"/>
  <c r="O32" i="3"/>
  <c r="O44" i="3" s="1"/>
  <c r="N32" i="3"/>
  <c r="N44" i="3" s="1"/>
  <c r="M32" i="3"/>
  <c r="M44" i="3" s="1"/>
  <c r="L32" i="3"/>
  <c r="L44" i="3" s="1"/>
  <c r="K32" i="3"/>
  <c r="K44" i="3" s="1"/>
  <c r="J32" i="3"/>
  <c r="J44" i="3" s="1"/>
  <c r="I32" i="3"/>
  <c r="I44" i="3" s="1"/>
  <c r="H32" i="3"/>
  <c r="H44" i="3" s="1"/>
  <c r="G32" i="3"/>
  <c r="G44" i="3" s="1"/>
  <c r="F32" i="3"/>
  <c r="F44" i="3" s="1"/>
  <c r="E32" i="3"/>
  <c r="E44" i="3" s="1"/>
  <c r="D32" i="3"/>
  <c r="AF31" i="3"/>
  <c r="AE31" i="3"/>
  <c r="AD31" i="3"/>
  <c r="AC31" i="3"/>
  <c r="AB31" i="3"/>
  <c r="AA31" i="3"/>
  <c r="Z31" i="3"/>
  <c r="Y31" i="3"/>
  <c r="X31" i="3"/>
  <c r="W31" i="3"/>
  <c r="V31" i="3"/>
  <c r="U31" i="3"/>
  <c r="T31" i="3"/>
  <c r="S31" i="3"/>
  <c r="R31" i="3"/>
  <c r="Q31" i="3"/>
  <c r="P31" i="3"/>
  <c r="O31" i="3"/>
  <c r="N31" i="3"/>
  <c r="M31" i="3"/>
  <c r="L31" i="3"/>
  <c r="K31" i="3"/>
  <c r="J31" i="3"/>
  <c r="I31" i="3"/>
  <c r="H31" i="3"/>
  <c r="G31" i="3"/>
  <c r="F31" i="3"/>
  <c r="E31" i="3"/>
  <c r="D31" i="3"/>
  <c r="AB12" i="3"/>
  <c r="AA12" i="3"/>
  <c r="Z12" i="3"/>
  <c r="Y12" i="3"/>
  <c r="X12" i="3"/>
  <c r="W12" i="3"/>
  <c r="V12" i="3"/>
  <c r="U12" i="3"/>
  <c r="T12" i="3"/>
  <c r="S12" i="3"/>
  <c r="R12" i="3"/>
  <c r="Q12" i="3"/>
  <c r="P12" i="3"/>
  <c r="O12" i="3"/>
  <c r="N12" i="3"/>
  <c r="M12" i="3"/>
  <c r="L12" i="3"/>
  <c r="K12" i="3"/>
  <c r="J12" i="3"/>
  <c r="I12" i="3"/>
  <c r="H12" i="3"/>
  <c r="G12" i="3"/>
  <c r="F12" i="3"/>
  <c r="E12" i="3"/>
  <c r="C8" i="3"/>
  <c r="C7" i="3"/>
  <c r="AF24" i="3"/>
  <c r="AE24" i="3"/>
  <c r="AD24" i="3"/>
  <c r="AC24" i="3"/>
  <c r="AB24" i="3"/>
  <c r="AA24" i="3"/>
  <c r="Z24" i="3"/>
  <c r="Y24" i="3"/>
  <c r="X24" i="3"/>
  <c r="W24" i="3"/>
  <c r="V24" i="3"/>
  <c r="U24" i="3"/>
  <c r="T24" i="3"/>
  <c r="S24" i="3"/>
  <c r="R24" i="3"/>
  <c r="Q24" i="3"/>
  <c r="P24" i="3"/>
  <c r="O24" i="3"/>
  <c r="N24" i="3"/>
  <c r="M24" i="3"/>
  <c r="L24" i="3"/>
  <c r="K24" i="3"/>
  <c r="J24" i="3"/>
  <c r="I24" i="3"/>
  <c r="H24" i="3"/>
  <c r="G24" i="3"/>
  <c r="F24" i="3"/>
  <c r="E24" i="3"/>
  <c r="D24" i="3"/>
  <c r="C23" i="3"/>
  <c r="C20" i="3"/>
  <c r="C19" i="3"/>
  <c r="G6" i="4"/>
  <c r="H6" i="4"/>
  <c r="I6" i="4"/>
  <c r="I22" i="4" s="1"/>
  <c r="J6" i="4"/>
  <c r="K6" i="4"/>
  <c r="L6" i="4"/>
  <c r="M6" i="4"/>
  <c r="N6" i="4"/>
  <c r="O6" i="4"/>
  <c r="P6" i="4"/>
  <c r="Q6" i="4"/>
  <c r="Q22" i="4" s="1"/>
  <c r="R6" i="4"/>
  <c r="S6" i="4"/>
  <c r="S22" i="4" s="1"/>
  <c r="T6" i="4"/>
  <c r="U6" i="4"/>
  <c r="V6" i="4"/>
  <c r="W6" i="4"/>
  <c r="X6" i="4"/>
  <c r="Y6" i="4"/>
  <c r="Y22" i="4" s="1"/>
  <c r="Z6" i="4"/>
  <c r="AA6" i="4"/>
  <c r="AB6" i="4"/>
  <c r="AC6" i="4"/>
  <c r="AD6" i="4"/>
  <c r="AE6" i="4"/>
  <c r="AF6" i="4"/>
  <c r="H18" i="3"/>
  <c r="I18" i="3"/>
  <c r="J18" i="3"/>
  <c r="K18" i="3"/>
  <c r="L18" i="3"/>
  <c r="M18" i="3"/>
  <c r="N18" i="3"/>
  <c r="O18" i="3"/>
  <c r="P18" i="3"/>
  <c r="Q18" i="3"/>
  <c r="R18" i="3"/>
  <c r="S18" i="3"/>
  <c r="T18" i="3"/>
  <c r="U18" i="3"/>
  <c r="V18" i="3"/>
  <c r="W18" i="3"/>
  <c r="X18" i="3"/>
  <c r="Y18" i="3"/>
  <c r="Z18" i="3"/>
  <c r="AA18" i="3"/>
  <c r="AB18" i="3"/>
  <c r="AC18" i="3"/>
  <c r="AD18" i="3"/>
  <c r="AE18" i="3"/>
  <c r="AF18" i="3"/>
  <c r="AE6" i="3"/>
  <c r="AF6" i="3"/>
  <c r="Z6" i="3"/>
  <c r="AA6" i="3"/>
  <c r="AB6" i="3"/>
  <c r="AC6" i="3"/>
  <c r="AD6" i="3"/>
  <c r="R6" i="3"/>
  <c r="S6" i="3"/>
  <c r="T6" i="3"/>
  <c r="U6" i="3"/>
  <c r="V6" i="3"/>
  <c r="W6" i="3"/>
  <c r="X6" i="3"/>
  <c r="Y6" i="3"/>
  <c r="H6" i="3"/>
  <c r="I6" i="3"/>
  <c r="J6" i="3"/>
  <c r="K6" i="3"/>
  <c r="L6" i="3"/>
  <c r="M6" i="3"/>
  <c r="N6" i="3"/>
  <c r="O6" i="3"/>
  <c r="P6" i="3"/>
  <c r="Q6" i="3"/>
  <c r="E6" i="19"/>
  <c r="G6" i="3"/>
  <c r="G25" i="7"/>
  <c r="F6" i="4"/>
  <c r="F6" i="3"/>
  <c r="F6" i="19"/>
  <c r="E6" i="3"/>
  <c r="G18" i="3"/>
  <c r="T25" i="7"/>
  <c r="O25" i="7"/>
  <c r="J25" i="7"/>
  <c r="AE25" i="7"/>
  <c r="AA25" i="7"/>
  <c r="W25" i="7"/>
  <c r="S25" i="7"/>
  <c r="N25" i="7"/>
  <c r="H25" i="7"/>
  <c r="AD25" i="7"/>
  <c r="Z25" i="7"/>
  <c r="V25" i="7"/>
  <c r="R25" i="7"/>
  <c r="L25" i="7"/>
  <c r="AC25" i="7"/>
  <c r="Y25" i="7"/>
  <c r="P25" i="7"/>
  <c r="K25" i="7"/>
  <c r="AF25" i="7"/>
  <c r="AB25" i="7"/>
  <c r="X25" i="7"/>
  <c r="E6" i="6"/>
  <c r="G6" i="6"/>
  <c r="K6" i="6"/>
  <c r="O6" i="6"/>
  <c r="S6" i="6"/>
  <c r="W6" i="6"/>
  <c r="AA6" i="6"/>
  <c r="AE6" i="6"/>
  <c r="AE19" i="6" s="1"/>
  <c r="H6" i="6"/>
  <c r="L6" i="6"/>
  <c r="P6" i="6"/>
  <c r="T6" i="6"/>
  <c r="X6" i="6"/>
  <c r="AB6" i="6"/>
  <c r="AF6" i="6"/>
  <c r="I6" i="6"/>
  <c r="M6" i="6"/>
  <c r="Q6" i="6"/>
  <c r="U6" i="6"/>
  <c r="Y6" i="6"/>
  <c r="AC6" i="6"/>
  <c r="J6" i="6"/>
  <c r="N6" i="6"/>
  <c r="R6" i="6"/>
  <c r="V6" i="6"/>
  <c r="Z6" i="6"/>
  <c r="AD6" i="6"/>
  <c r="F6" i="6"/>
  <c r="D19" i="6"/>
  <c r="U25" i="7"/>
  <c r="Q25" i="7"/>
  <c r="M25" i="7"/>
  <c r="I25" i="7"/>
  <c r="F25" i="7"/>
  <c r="E25" i="7"/>
  <c r="F6" i="10"/>
  <c r="E6" i="10"/>
  <c r="D14" i="4"/>
  <c r="AH11" i="31" l="1"/>
  <c r="AE9" i="3"/>
  <c r="AG12" i="31"/>
  <c r="AD11" i="3"/>
  <c r="AG13" i="31"/>
  <c r="AF14" i="31"/>
  <c r="AF15" i="31" s="1"/>
  <c r="H7" i="9"/>
  <c r="I7" i="9" s="1"/>
  <c r="H6" i="9"/>
  <c r="I6" i="9" s="1"/>
  <c r="AC35" i="3"/>
  <c r="AC47" i="3" s="1"/>
  <c r="AC48" i="3" s="1"/>
  <c r="AD10" i="3"/>
  <c r="AD33" i="3"/>
  <c r="AD45" i="3" s="1"/>
  <c r="S25" i="4"/>
  <c r="S23" i="6" s="1"/>
  <c r="U34" i="3"/>
  <c r="K25" i="4"/>
  <c r="E34" i="3"/>
  <c r="AA25" i="4"/>
  <c r="AA9" i="6" s="1"/>
  <c r="AA35" i="6" s="1"/>
  <c r="AA36" i="6" s="1"/>
  <c r="I34" i="3"/>
  <c r="Q34" i="3"/>
  <c r="Y34" i="3"/>
  <c r="D30" i="2"/>
  <c r="D50" i="6" s="1"/>
  <c r="D31" i="2"/>
  <c r="H34" i="3"/>
  <c r="L34" i="3"/>
  <c r="P34" i="3"/>
  <c r="T34" i="3"/>
  <c r="X34" i="3"/>
  <c r="AB34" i="3"/>
  <c r="J43" i="3"/>
  <c r="J46" i="3" s="1"/>
  <c r="J34" i="3"/>
  <c r="N43" i="3"/>
  <c r="N46" i="3" s="1"/>
  <c r="N34" i="3"/>
  <c r="V43" i="3"/>
  <c r="V46" i="3" s="1"/>
  <c r="V34" i="3"/>
  <c r="AD43" i="3"/>
  <c r="G43" i="3"/>
  <c r="G46" i="3" s="1"/>
  <c r="G34" i="3"/>
  <c r="K43" i="3"/>
  <c r="K46" i="3" s="1"/>
  <c r="K34" i="3"/>
  <c r="O43" i="3"/>
  <c r="O46" i="3" s="1"/>
  <c r="O34" i="3"/>
  <c r="S43" i="3"/>
  <c r="S46" i="3" s="1"/>
  <c r="S34" i="3"/>
  <c r="W43" i="3"/>
  <c r="W46" i="3" s="1"/>
  <c r="W34" i="3"/>
  <c r="AA43" i="3"/>
  <c r="AA46" i="3" s="1"/>
  <c r="AA34" i="3"/>
  <c r="AE43" i="3"/>
  <c r="D43" i="3"/>
  <c r="D34" i="3"/>
  <c r="F43" i="3"/>
  <c r="F46" i="3" s="1"/>
  <c r="F34" i="3"/>
  <c r="R43" i="3"/>
  <c r="R46" i="3" s="1"/>
  <c r="R34" i="3"/>
  <c r="Z43" i="3"/>
  <c r="Z46" i="3" s="1"/>
  <c r="Z34" i="3"/>
  <c r="M43" i="3"/>
  <c r="M46" i="3" s="1"/>
  <c r="M34" i="3"/>
  <c r="AC43" i="3"/>
  <c r="AC46" i="3" s="1"/>
  <c r="AC34" i="3"/>
  <c r="J47" i="3"/>
  <c r="J48" i="3" s="1"/>
  <c r="R47" i="3"/>
  <c r="R48" i="3" s="1"/>
  <c r="F47" i="3"/>
  <c r="F48" i="3" s="1"/>
  <c r="N47" i="3"/>
  <c r="N48" i="3" s="1"/>
  <c r="V47" i="3"/>
  <c r="V48" i="3" s="1"/>
  <c r="Z47" i="3"/>
  <c r="Z48" i="3" s="1"/>
  <c r="F66" i="2"/>
  <c r="F68" i="2" s="1"/>
  <c r="F7" i="19" s="1"/>
  <c r="F31" i="2"/>
  <c r="E30" i="2"/>
  <c r="E7" i="6" s="1"/>
  <c r="E31" i="2"/>
  <c r="H25" i="4"/>
  <c r="L25" i="4"/>
  <c r="L23" i="6" s="1"/>
  <c r="P25" i="4"/>
  <c r="P23" i="6" s="1"/>
  <c r="T25" i="4"/>
  <c r="T9" i="6" s="1"/>
  <c r="T35" i="6" s="1"/>
  <c r="T36" i="6" s="1"/>
  <c r="X25" i="4"/>
  <c r="AB25" i="4"/>
  <c r="AB9" i="6" s="1"/>
  <c r="AB35" i="6" s="1"/>
  <c r="AB36" i="6" s="1"/>
  <c r="AF25" i="4"/>
  <c r="AF23" i="6" s="1"/>
  <c r="I20" i="9"/>
  <c r="I21" i="9"/>
  <c r="O23" i="6"/>
  <c r="O9" i="6"/>
  <c r="O35" i="6" s="1"/>
  <c r="O36" i="6" s="1"/>
  <c r="W23" i="6"/>
  <c r="W9" i="6"/>
  <c r="W35" i="6" s="1"/>
  <c r="W36" i="6" s="1"/>
  <c r="G10" i="10"/>
  <c r="G11" i="10"/>
  <c r="G16" i="10" s="1"/>
  <c r="G12" i="10"/>
  <c r="O10" i="10"/>
  <c r="O11" i="10"/>
  <c r="O16" i="10" s="1"/>
  <c r="O12" i="10"/>
  <c r="AA10" i="10"/>
  <c r="AA11" i="10"/>
  <c r="AA16" i="10" s="1"/>
  <c r="AA12" i="10"/>
  <c r="C17" i="4"/>
  <c r="C23" i="4"/>
  <c r="L9" i="6"/>
  <c r="L35" i="6" s="1"/>
  <c r="L36" i="6" s="1"/>
  <c r="X9" i="6"/>
  <c r="X35" i="6" s="1"/>
  <c r="X36" i="6" s="1"/>
  <c r="X23" i="6"/>
  <c r="C24" i="4"/>
  <c r="H12" i="10"/>
  <c r="H10" i="10"/>
  <c r="H11" i="10"/>
  <c r="H16" i="10" s="1"/>
  <c r="L10" i="10"/>
  <c r="L11" i="10"/>
  <c r="L16" i="10" s="1"/>
  <c r="L12" i="10"/>
  <c r="P12" i="10"/>
  <c r="P10" i="10"/>
  <c r="P11" i="10"/>
  <c r="P16" i="10" s="1"/>
  <c r="T10" i="10"/>
  <c r="T12" i="10"/>
  <c r="T11" i="10"/>
  <c r="T16" i="10" s="1"/>
  <c r="X10" i="10"/>
  <c r="X11" i="10"/>
  <c r="X16" i="10" s="1"/>
  <c r="X12" i="10"/>
  <c r="AB10" i="10"/>
  <c r="AB12" i="10"/>
  <c r="AB11" i="10"/>
  <c r="AB16" i="10" s="1"/>
  <c r="AF10" i="10"/>
  <c r="AF11" i="10"/>
  <c r="AF16" i="10" s="1"/>
  <c r="AF12" i="10"/>
  <c r="G9" i="6"/>
  <c r="G35" i="6" s="1"/>
  <c r="G23" i="6"/>
  <c r="AE23" i="6"/>
  <c r="AE9" i="6"/>
  <c r="AE35" i="6" s="1"/>
  <c r="AE36" i="6" s="1"/>
  <c r="S10" i="10"/>
  <c r="S11" i="10"/>
  <c r="S16" i="10" s="1"/>
  <c r="S12" i="10"/>
  <c r="AE10" i="10"/>
  <c r="AE11" i="10"/>
  <c r="AE16" i="10" s="1"/>
  <c r="AE12" i="10"/>
  <c r="E25" i="4"/>
  <c r="I25" i="4"/>
  <c r="M25" i="4"/>
  <c r="Q25" i="4"/>
  <c r="U25" i="4"/>
  <c r="Y25" i="4"/>
  <c r="AC25" i="4"/>
  <c r="E10" i="10"/>
  <c r="E12" i="10"/>
  <c r="E11" i="10"/>
  <c r="E16" i="10" s="1"/>
  <c r="I12" i="10"/>
  <c r="I10" i="10"/>
  <c r="I11" i="10"/>
  <c r="I16" i="10" s="1"/>
  <c r="M12" i="10"/>
  <c r="M10" i="10"/>
  <c r="M11" i="10"/>
  <c r="Q12" i="10"/>
  <c r="Q11" i="10"/>
  <c r="Q10" i="10"/>
  <c r="U12" i="10"/>
  <c r="U10" i="10"/>
  <c r="U11" i="10"/>
  <c r="U16" i="10" s="1"/>
  <c r="Y12" i="10"/>
  <c r="Y10" i="10"/>
  <c r="Y11" i="10"/>
  <c r="Y16" i="10" s="1"/>
  <c r="AC12" i="10"/>
  <c r="AC10" i="10"/>
  <c r="AC11" i="10"/>
  <c r="K23" i="6"/>
  <c r="K9" i="6"/>
  <c r="K35" i="6" s="1"/>
  <c r="K36" i="6" s="1"/>
  <c r="K10" i="10"/>
  <c r="K11" i="10"/>
  <c r="K16" i="10" s="1"/>
  <c r="K12" i="10"/>
  <c r="W10" i="10"/>
  <c r="W11" i="10"/>
  <c r="W16" i="10" s="1"/>
  <c r="W12" i="10"/>
  <c r="F10" i="10"/>
  <c r="F11" i="10"/>
  <c r="F16" i="10" s="1"/>
  <c r="F12" i="10"/>
  <c r="J11" i="10"/>
  <c r="J16" i="10" s="1"/>
  <c r="J12" i="10"/>
  <c r="J10" i="10"/>
  <c r="N11" i="10"/>
  <c r="N16" i="10" s="1"/>
  <c r="N12" i="10"/>
  <c r="N10" i="10"/>
  <c r="R11" i="10"/>
  <c r="R16" i="10" s="1"/>
  <c r="R12" i="10"/>
  <c r="R10" i="10"/>
  <c r="V11" i="10"/>
  <c r="V16" i="10" s="1"/>
  <c r="V12" i="10"/>
  <c r="V10" i="10"/>
  <c r="Z11" i="10"/>
  <c r="Z16" i="10" s="1"/>
  <c r="Z10" i="10"/>
  <c r="Z12" i="10"/>
  <c r="AD11" i="10"/>
  <c r="AD16" i="10" s="1"/>
  <c r="AD12" i="10"/>
  <c r="AD10" i="10"/>
  <c r="C13" i="19"/>
  <c r="N25" i="3"/>
  <c r="V25" i="3"/>
  <c r="E25" i="3"/>
  <c r="Q25" i="3"/>
  <c r="E13" i="3"/>
  <c r="E57" i="3" s="1"/>
  <c r="H43" i="3"/>
  <c r="H46" i="3" s="1"/>
  <c r="L43" i="3"/>
  <c r="L46" i="3" s="1"/>
  <c r="P43" i="3"/>
  <c r="P46" i="3" s="1"/>
  <c r="T43" i="3"/>
  <c r="T46" i="3" s="1"/>
  <c r="X43" i="3"/>
  <c r="X46" i="3" s="1"/>
  <c r="AB43" i="3"/>
  <c r="AB46" i="3" s="1"/>
  <c r="AF43" i="3"/>
  <c r="C32" i="3"/>
  <c r="D44" i="3"/>
  <c r="C44" i="3" s="1"/>
  <c r="H36" i="3"/>
  <c r="H48" i="3"/>
  <c r="L36" i="3"/>
  <c r="L48" i="3"/>
  <c r="P36" i="3"/>
  <c r="P48" i="3"/>
  <c r="T36" i="3"/>
  <c r="T48" i="3"/>
  <c r="X36" i="3"/>
  <c r="X48" i="3"/>
  <c r="AB36" i="3"/>
  <c r="AB48" i="3"/>
  <c r="E43" i="3"/>
  <c r="E46" i="3" s="1"/>
  <c r="I43" i="3"/>
  <c r="I46" i="3" s="1"/>
  <c r="Q43" i="3"/>
  <c r="Q46" i="3" s="1"/>
  <c r="U43" i="3"/>
  <c r="U46" i="3" s="1"/>
  <c r="Y43" i="3"/>
  <c r="Y46" i="3" s="1"/>
  <c r="E36" i="3"/>
  <c r="E48" i="3"/>
  <c r="I36" i="3"/>
  <c r="I48" i="3"/>
  <c r="U36" i="3"/>
  <c r="U48" i="3"/>
  <c r="Y36" i="3"/>
  <c r="Y48" i="3"/>
  <c r="H25" i="3"/>
  <c r="X25" i="3"/>
  <c r="F25" i="3"/>
  <c r="H13" i="3"/>
  <c r="H57" i="3" s="1"/>
  <c r="H59" i="3" s="1"/>
  <c r="L13" i="3"/>
  <c r="L57" i="3" s="1"/>
  <c r="L59" i="3" s="1"/>
  <c r="P13" i="3"/>
  <c r="P57" i="3" s="1"/>
  <c r="P59" i="3" s="1"/>
  <c r="T13" i="3"/>
  <c r="T57" i="3" s="1"/>
  <c r="T59" i="3" s="1"/>
  <c r="X13" i="3"/>
  <c r="X57" i="3" s="1"/>
  <c r="X59" i="3" s="1"/>
  <c r="AB13" i="3"/>
  <c r="AB57" i="3" s="1"/>
  <c r="AB59" i="3" s="1"/>
  <c r="I25" i="3"/>
  <c r="U25" i="3"/>
  <c r="Y25" i="3"/>
  <c r="G13" i="3"/>
  <c r="G57" i="3" s="1"/>
  <c r="G59" i="3" s="1"/>
  <c r="K13" i="3"/>
  <c r="K57" i="3" s="1"/>
  <c r="K59" i="3" s="1"/>
  <c r="O13" i="3"/>
  <c r="O57" i="3" s="1"/>
  <c r="O59" i="3" s="1"/>
  <c r="S13" i="3"/>
  <c r="S57" i="3" s="1"/>
  <c r="S59" i="3" s="1"/>
  <c r="W13" i="3"/>
  <c r="W57" i="3" s="1"/>
  <c r="W59" i="3" s="1"/>
  <c r="AA13" i="3"/>
  <c r="AA57" i="3" s="1"/>
  <c r="AA59" i="3" s="1"/>
  <c r="G36" i="3"/>
  <c r="G48" i="3"/>
  <c r="K36" i="3"/>
  <c r="K48" i="3"/>
  <c r="O36" i="3"/>
  <c r="O48" i="3"/>
  <c r="S36" i="3"/>
  <c r="S48" i="3"/>
  <c r="W36" i="3"/>
  <c r="W48" i="3"/>
  <c r="AA36" i="3"/>
  <c r="AA48" i="3"/>
  <c r="M36" i="3"/>
  <c r="M48" i="3"/>
  <c r="Q36" i="3"/>
  <c r="Q48" i="3"/>
  <c r="I14" i="4"/>
  <c r="S14" i="4"/>
  <c r="Y14" i="4"/>
  <c r="V19" i="6"/>
  <c r="V49" i="6"/>
  <c r="V33" i="6"/>
  <c r="Q19" i="6"/>
  <c r="Q49" i="6"/>
  <c r="Q33" i="6"/>
  <c r="AB19" i="6"/>
  <c r="AB49" i="6"/>
  <c r="AB33" i="6"/>
  <c r="L19" i="6"/>
  <c r="L49" i="6"/>
  <c r="L33" i="6"/>
  <c r="AA19" i="6"/>
  <c r="AA33" i="6"/>
  <c r="AA49" i="6"/>
  <c r="K19" i="6"/>
  <c r="K33" i="6"/>
  <c r="K49" i="6"/>
  <c r="N30" i="3"/>
  <c r="N42" i="3"/>
  <c r="N56" i="3" s="1"/>
  <c r="J30" i="3"/>
  <c r="J42" i="3"/>
  <c r="J56" i="3" s="1"/>
  <c r="X42" i="3"/>
  <c r="X56" i="3" s="1"/>
  <c r="X30" i="3"/>
  <c r="T30" i="3"/>
  <c r="T42" i="3"/>
  <c r="T56" i="3" s="1"/>
  <c r="AC42" i="3"/>
  <c r="AC56" i="3" s="1"/>
  <c r="AC30" i="3"/>
  <c r="AE14" i="4"/>
  <c r="AE22" i="4"/>
  <c r="AA14" i="4"/>
  <c r="AA22" i="4"/>
  <c r="X14" i="4"/>
  <c r="X22" i="4"/>
  <c r="T14" i="4"/>
  <c r="T22" i="4"/>
  <c r="M14" i="4"/>
  <c r="M22" i="4"/>
  <c r="F19" i="6"/>
  <c r="F49" i="6"/>
  <c r="F33" i="6"/>
  <c r="R19" i="6"/>
  <c r="R33" i="6"/>
  <c r="R49" i="6"/>
  <c r="AC19" i="6"/>
  <c r="AC33" i="6"/>
  <c r="AC49" i="6"/>
  <c r="M19" i="6"/>
  <c r="M33" i="6"/>
  <c r="M49" i="6"/>
  <c r="X19" i="6"/>
  <c r="X49" i="6"/>
  <c r="X33" i="6"/>
  <c r="H19" i="6"/>
  <c r="H49" i="6"/>
  <c r="H33" i="6"/>
  <c r="W19" i="6"/>
  <c r="W33" i="6"/>
  <c r="W49" i="6"/>
  <c r="G19" i="6"/>
  <c r="G33" i="6"/>
  <c r="G49" i="6"/>
  <c r="E30" i="3"/>
  <c r="E42" i="3"/>
  <c r="E56" i="3" s="1"/>
  <c r="G42" i="3"/>
  <c r="G56" i="3" s="1"/>
  <c r="G30" i="3"/>
  <c r="Q42" i="3"/>
  <c r="Q56" i="3" s="1"/>
  <c r="Q30" i="3"/>
  <c r="M42" i="3"/>
  <c r="M56" i="3" s="1"/>
  <c r="M30" i="3"/>
  <c r="I30" i="3"/>
  <c r="I42" i="3"/>
  <c r="I56" i="3" s="1"/>
  <c r="W42" i="3"/>
  <c r="W56" i="3" s="1"/>
  <c r="W30" i="3"/>
  <c r="S42" i="3"/>
  <c r="S56" i="3" s="1"/>
  <c r="S30" i="3"/>
  <c r="AB42" i="3"/>
  <c r="AB56" i="3" s="1"/>
  <c r="AB30" i="3"/>
  <c r="AF30" i="3"/>
  <c r="AF42" i="3"/>
  <c r="AF56" i="3" s="1"/>
  <c r="AD14" i="4"/>
  <c r="AD22" i="4"/>
  <c r="Z14" i="4"/>
  <c r="Z22" i="4"/>
  <c r="W14" i="4"/>
  <c r="W22" i="4"/>
  <c r="P14" i="4"/>
  <c r="P22" i="4"/>
  <c r="L14" i="4"/>
  <c r="L22" i="4"/>
  <c r="AD19" i="6"/>
  <c r="AD33" i="6"/>
  <c r="AD49" i="6"/>
  <c r="N19" i="6"/>
  <c r="N33" i="6"/>
  <c r="N49" i="6"/>
  <c r="Y19" i="6"/>
  <c r="Y33" i="6"/>
  <c r="Y49" i="6"/>
  <c r="I19" i="6"/>
  <c r="I33" i="6"/>
  <c r="I49" i="6"/>
  <c r="T19" i="6"/>
  <c r="T49" i="6"/>
  <c r="T33" i="6"/>
  <c r="S19" i="6"/>
  <c r="S33" i="6"/>
  <c r="S49" i="6"/>
  <c r="E19" i="6"/>
  <c r="E49" i="6"/>
  <c r="E33" i="6"/>
  <c r="F14" i="4"/>
  <c r="F22" i="4"/>
  <c r="P30" i="3"/>
  <c r="P42" i="3"/>
  <c r="P56" i="3" s="1"/>
  <c r="L42" i="3"/>
  <c r="L56" i="3" s="1"/>
  <c r="L30" i="3"/>
  <c r="H42" i="3"/>
  <c r="H56" i="3" s="1"/>
  <c r="H30" i="3"/>
  <c r="V30" i="3"/>
  <c r="V42" i="3"/>
  <c r="V56" i="3" s="1"/>
  <c r="R30" i="3"/>
  <c r="R42" i="3"/>
  <c r="R56" i="3" s="1"/>
  <c r="AA42" i="3"/>
  <c r="AA56" i="3" s="1"/>
  <c r="AA30" i="3"/>
  <c r="AE42" i="3"/>
  <c r="AE56" i="3" s="1"/>
  <c r="AE30" i="3"/>
  <c r="AC14" i="4"/>
  <c r="AC22" i="4"/>
  <c r="V14" i="4"/>
  <c r="V22" i="4"/>
  <c r="R14" i="4"/>
  <c r="R22" i="4"/>
  <c r="O14" i="4"/>
  <c r="O22" i="4"/>
  <c r="K14" i="4"/>
  <c r="K22" i="4"/>
  <c r="H14" i="4"/>
  <c r="H22" i="4"/>
  <c r="E14" i="4"/>
  <c r="E22" i="4"/>
  <c r="Z19" i="6"/>
  <c r="Z49" i="6"/>
  <c r="Z33" i="6"/>
  <c r="J19" i="6"/>
  <c r="J49" i="6"/>
  <c r="J33" i="6"/>
  <c r="U19" i="6"/>
  <c r="U49" i="6"/>
  <c r="U33" i="6"/>
  <c r="AF19" i="6"/>
  <c r="AF49" i="6"/>
  <c r="AF33" i="6"/>
  <c r="P19" i="6"/>
  <c r="P49" i="6"/>
  <c r="P33" i="6"/>
  <c r="AE33" i="6"/>
  <c r="AE49" i="6"/>
  <c r="O19" i="6"/>
  <c r="O33" i="6"/>
  <c r="O49" i="6"/>
  <c r="F30" i="3"/>
  <c r="F42" i="3"/>
  <c r="F56" i="3" s="1"/>
  <c r="O42" i="3"/>
  <c r="O56" i="3" s="1"/>
  <c r="O30" i="3"/>
  <c r="K42" i="3"/>
  <c r="K56" i="3" s="1"/>
  <c r="K30" i="3"/>
  <c r="Y30" i="3"/>
  <c r="Y42" i="3"/>
  <c r="Y56" i="3" s="1"/>
  <c r="U30" i="3"/>
  <c r="U42" i="3"/>
  <c r="U56" i="3" s="1"/>
  <c r="AD30" i="3"/>
  <c r="AD42" i="3"/>
  <c r="AD56" i="3" s="1"/>
  <c r="Z30" i="3"/>
  <c r="Z42" i="3"/>
  <c r="Z56" i="3" s="1"/>
  <c r="AF14" i="4"/>
  <c r="AF22" i="4"/>
  <c r="AB14" i="4"/>
  <c r="AB22" i="4"/>
  <c r="U14" i="4"/>
  <c r="U22" i="4"/>
  <c r="Q14" i="4"/>
  <c r="N14" i="4"/>
  <c r="N22" i="4"/>
  <c r="J14" i="4"/>
  <c r="J22" i="4"/>
  <c r="G14" i="4"/>
  <c r="G22" i="4"/>
  <c r="C51" i="6"/>
  <c r="H52" i="6"/>
  <c r="C9" i="4"/>
  <c r="H23" i="6"/>
  <c r="H9" i="6"/>
  <c r="I220" i="1"/>
  <c r="I217" i="1"/>
  <c r="I180" i="1"/>
  <c r="I185" i="1"/>
  <c r="I186" i="1"/>
  <c r="I184" i="1"/>
  <c r="I181" i="1"/>
  <c r="I221" i="1"/>
  <c r="I222" i="1"/>
  <c r="I218" i="1"/>
  <c r="I219" i="1"/>
  <c r="I182" i="1"/>
  <c r="G130" i="1"/>
  <c r="E132" i="1"/>
  <c r="F132" i="1" s="1"/>
  <c r="H9" i="9"/>
  <c r="D36" i="3"/>
  <c r="J25" i="3"/>
  <c r="R25" i="3"/>
  <c r="Z25" i="3"/>
  <c r="L25" i="3"/>
  <c r="G25" i="3"/>
  <c r="K25" i="3"/>
  <c r="O25" i="3"/>
  <c r="S25" i="3"/>
  <c r="W25" i="3"/>
  <c r="AA25" i="3"/>
  <c r="AE25" i="3"/>
  <c r="M25" i="3"/>
  <c r="AC25" i="3"/>
  <c r="I13" i="3"/>
  <c r="I57" i="3" s="1"/>
  <c r="I59" i="3" s="1"/>
  <c r="M13" i="3"/>
  <c r="M57" i="3" s="1"/>
  <c r="M59" i="3" s="1"/>
  <c r="Q13" i="3"/>
  <c r="Q57" i="3" s="1"/>
  <c r="Q59" i="3" s="1"/>
  <c r="U13" i="3"/>
  <c r="U57" i="3" s="1"/>
  <c r="U59" i="3" s="1"/>
  <c r="Y13" i="3"/>
  <c r="Y57" i="3" s="1"/>
  <c r="Y59" i="3" s="1"/>
  <c r="AC13" i="3"/>
  <c r="AC57" i="3" s="1"/>
  <c r="AC59" i="3" s="1"/>
  <c r="F36" i="3"/>
  <c r="J36" i="3"/>
  <c r="N36" i="3"/>
  <c r="R36" i="3"/>
  <c r="V36" i="3"/>
  <c r="Z36" i="3"/>
  <c r="C22" i="3"/>
  <c r="AD25" i="3"/>
  <c r="C24" i="3"/>
  <c r="P25" i="3"/>
  <c r="T25" i="3"/>
  <c r="AB25" i="3"/>
  <c r="AF25" i="3"/>
  <c r="F13" i="3"/>
  <c r="F57" i="3" s="1"/>
  <c r="F59" i="3" s="1"/>
  <c r="J13" i="3"/>
  <c r="J57" i="3" s="1"/>
  <c r="J59" i="3" s="1"/>
  <c r="N13" i="3"/>
  <c r="N57" i="3" s="1"/>
  <c r="N59" i="3" s="1"/>
  <c r="R13" i="3"/>
  <c r="R57" i="3" s="1"/>
  <c r="R59" i="3" s="1"/>
  <c r="V13" i="3"/>
  <c r="V57" i="3" s="1"/>
  <c r="V59" i="3" s="1"/>
  <c r="Z13" i="3"/>
  <c r="Z57" i="3" s="1"/>
  <c r="Z59" i="3" s="1"/>
  <c r="H8" i="9"/>
  <c r="H10" i="9"/>
  <c r="C31" i="3"/>
  <c r="C48" i="2"/>
  <c r="D25" i="4"/>
  <c r="D25" i="3"/>
  <c r="C10" i="2"/>
  <c r="F25" i="4"/>
  <c r="J25" i="4"/>
  <c r="N25" i="4"/>
  <c r="R25" i="4"/>
  <c r="V25" i="4"/>
  <c r="Z25" i="4"/>
  <c r="AD25" i="4"/>
  <c r="C9" i="10"/>
  <c r="P9" i="6" l="1"/>
  <c r="P35" i="6" s="1"/>
  <c r="P36" i="6" s="1"/>
  <c r="M16" i="10"/>
  <c r="Q16" i="10"/>
  <c r="AC16" i="10"/>
  <c r="E15" i="10"/>
  <c r="AE11" i="3"/>
  <c r="AG14" i="31"/>
  <c r="AG15" i="31" s="1"/>
  <c r="AH13" i="31"/>
  <c r="AI11" i="31"/>
  <c r="AF9" i="3"/>
  <c r="AH12" i="31"/>
  <c r="G132" i="1"/>
  <c r="E17" i="10" s="1"/>
  <c r="D17" i="10"/>
  <c r="H132" i="1"/>
  <c r="I132" i="1" s="1"/>
  <c r="J132" i="1" s="1"/>
  <c r="K132" i="1" s="1"/>
  <c r="L132" i="1" s="1"/>
  <c r="M132" i="1" s="1"/>
  <c r="N132" i="1" s="1"/>
  <c r="O132" i="1" s="1"/>
  <c r="P132" i="1" s="1"/>
  <c r="Q132" i="1" s="1"/>
  <c r="R132" i="1" s="1"/>
  <c r="S132" i="1" s="1"/>
  <c r="T132" i="1" s="1"/>
  <c r="U132" i="1" s="1"/>
  <c r="V132" i="1" s="1"/>
  <c r="W132" i="1" s="1"/>
  <c r="X132" i="1" s="1"/>
  <c r="Y132" i="1" s="1"/>
  <c r="Z132" i="1" s="1"/>
  <c r="AA132" i="1" s="1"/>
  <c r="AB132" i="1" s="1"/>
  <c r="AC132" i="1" s="1"/>
  <c r="AD132" i="1" s="1"/>
  <c r="AE132" i="1" s="1"/>
  <c r="AF132" i="1" s="1"/>
  <c r="AG132" i="1" s="1"/>
  <c r="AH132" i="1" s="1"/>
  <c r="AI132" i="1" s="1"/>
  <c r="S9" i="6"/>
  <c r="S35" i="6" s="1"/>
  <c r="S36" i="6" s="1"/>
  <c r="H130" i="1"/>
  <c r="I130" i="1" s="1"/>
  <c r="J130" i="1" s="1"/>
  <c r="K130" i="1" s="1"/>
  <c r="L130" i="1" s="1"/>
  <c r="M130" i="1" s="1"/>
  <c r="N130" i="1" s="1"/>
  <c r="O130" i="1" s="1"/>
  <c r="P130" i="1" s="1"/>
  <c r="Q130" i="1" s="1"/>
  <c r="R130" i="1" s="1"/>
  <c r="S130" i="1" s="1"/>
  <c r="T130" i="1" s="1"/>
  <c r="U130" i="1" s="1"/>
  <c r="V130" i="1" s="1"/>
  <c r="W130" i="1" s="1"/>
  <c r="X130" i="1" s="1"/>
  <c r="Y130" i="1" s="1"/>
  <c r="Z130" i="1" s="1"/>
  <c r="AA130" i="1" s="1"/>
  <c r="AB130" i="1" s="1"/>
  <c r="AC130" i="1" s="1"/>
  <c r="AD130" i="1" s="1"/>
  <c r="AE130" i="1" s="1"/>
  <c r="AF130" i="1" s="1"/>
  <c r="AG130" i="1" s="1"/>
  <c r="AH130" i="1" s="1"/>
  <c r="AI130" i="1" s="1"/>
  <c r="AA23" i="6"/>
  <c r="AC36" i="3"/>
  <c r="D7" i="6"/>
  <c r="D53" i="6" s="1"/>
  <c r="AD34" i="3"/>
  <c r="AD46" i="3"/>
  <c r="AE10" i="3"/>
  <c r="AE33" i="3"/>
  <c r="AD12" i="3"/>
  <c r="AD35" i="3"/>
  <c r="I10" i="9"/>
  <c r="I8" i="9"/>
  <c r="I9" i="9"/>
  <c r="E59" i="3"/>
  <c r="M54" i="6"/>
  <c r="M56" i="6" s="1"/>
  <c r="M57" i="6" s="1"/>
  <c r="M59" i="6" s="1"/>
  <c r="M58" i="3"/>
  <c r="M60" i="3" s="1"/>
  <c r="M61" i="3" s="1"/>
  <c r="D54" i="6"/>
  <c r="D58" i="3"/>
  <c r="AB54" i="6"/>
  <c r="AB56" i="6" s="1"/>
  <c r="AB57" i="6" s="1"/>
  <c r="AB59" i="6" s="1"/>
  <c r="AB58" i="3"/>
  <c r="AB60" i="3" s="1"/>
  <c r="AB61" i="3" s="1"/>
  <c r="AE54" i="6"/>
  <c r="AE56" i="6" s="1"/>
  <c r="AE57" i="6" s="1"/>
  <c r="AE59" i="6" s="1"/>
  <c r="AE58" i="3"/>
  <c r="AE60" i="3" s="1"/>
  <c r="Z54" i="6"/>
  <c r="Z56" i="6" s="1"/>
  <c r="Z57" i="6" s="1"/>
  <c r="Z59" i="6" s="1"/>
  <c r="Z58" i="3"/>
  <c r="Z60" i="3" s="1"/>
  <c r="Z61" i="3" s="1"/>
  <c r="Y54" i="6"/>
  <c r="Y56" i="6" s="1"/>
  <c r="Y57" i="6" s="1"/>
  <c r="Y59" i="6" s="1"/>
  <c r="Y58" i="3"/>
  <c r="Y60" i="3" s="1"/>
  <c r="Y61" i="3" s="1"/>
  <c r="AF54" i="6"/>
  <c r="AF56" i="6" s="1"/>
  <c r="AF57" i="6" s="1"/>
  <c r="AF59" i="6" s="1"/>
  <c r="AF58" i="3"/>
  <c r="AF60" i="3" s="1"/>
  <c r="AA54" i="6"/>
  <c r="AA56" i="6" s="1"/>
  <c r="AA57" i="6" s="1"/>
  <c r="AA59" i="6" s="1"/>
  <c r="AA58" i="3"/>
  <c r="AA60" i="3" s="1"/>
  <c r="AA61" i="3" s="1"/>
  <c r="U54" i="6"/>
  <c r="U56" i="6" s="1"/>
  <c r="U57" i="6" s="1"/>
  <c r="U59" i="6" s="1"/>
  <c r="U58" i="3"/>
  <c r="U60" i="3" s="1"/>
  <c r="U61" i="3" s="1"/>
  <c r="P54" i="6"/>
  <c r="P56" i="6" s="1"/>
  <c r="P57" i="6" s="1"/>
  <c r="P59" i="6" s="1"/>
  <c r="P58" i="3"/>
  <c r="P60" i="3" s="1"/>
  <c r="P61" i="3" s="1"/>
  <c r="W54" i="6"/>
  <c r="W56" i="6" s="1"/>
  <c r="W57" i="6" s="1"/>
  <c r="W59" i="6" s="1"/>
  <c r="W58" i="3"/>
  <c r="W60" i="3" s="1"/>
  <c r="W61" i="3" s="1"/>
  <c r="J54" i="6"/>
  <c r="J56" i="6" s="1"/>
  <c r="J57" i="6" s="1"/>
  <c r="J59" i="6" s="1"/>
  <c r="J58" i="3"/>
  <c r="J60" i="3" s="1"/>
  <c r="J61" i="3" s="1"/>
  <c r="I54" i="6"/>
  <c r="I56" i="6" s="1"/>
  <c r="I57" i="6" s="1"/>
  <c r="I59" i="6" s="1"/>
  <c r="I58" i="3"/>
  <c r="I60" i="3" s="1"/>
  <c r="I61" i="3" s="1"/>
  <c r="F54" i="6"/>
  <c r="F58" i="3"/>
  <c r="F60" i="3" s="1"/>
  <c r="F61" i="3" s="1"/>
  <c r="Q54" i="6"/>
  <c r="Q56" i="6" s="1"/>
  <c r="Q57" i="6" s="1"/>
  <c r="Q59" i="6" s="1"/>
  <c r="Q58" i="3"/>
  <c r="Q60" i="3" s="1"/>
  <c r="Q61" i="3" s="1"/>
  <c r="S54" i="6"/>
  <c r="S56" i="6" s="1"/>
  <c r="S57" i="6" s="1"/>
  <c r="S59" i="6" s="1"/>
  <c r="S58" i="3"/>
  <c r="S60" i="3" s="1"/>
  <c r="S61" i="3" s="1"/>
  <c r="X54" i="6"/>
  <c r="X56" i="6" s="1"/>
  <c r="X57" i="6" s="1"/>
  <c r="X59" i="6" s="1"/>
  <c r="X58" i="3"/>
  <c r="X60" i="3" s="1"/>
  <c r="X61" i="3" s="1"/>
  <c r="E54" i="6"/>
  <c r="E58" i="3"/>
  <c r="E60" i="3" s="1"/>
  <c r="E61" i="3" s="1"/>
  <c r="T54" i="6"/>
  <c r="T56" i="6" s="1"/>
  <c r="T57" i="6" s="1"/>
  <c r="T59" i="6" s="1"/>
  <c r="T58" i="3"/>
  <c r="T60" i="3" s="1"/>
  <c r="T61" i="3" s="1"/>
  <c r="AD54" i="6"/>
  <c r="AD56" i="6" s="1"/>
  <c r="AD57" i="6" s="1"/>
  <c r="AD59" i="6" s="1"/>
  <c r="AD58" i="3"/>
  <c r="AD60" i="3" s="1"/>
  <c r="O54" i="6"/>
  <c r="O56" i="6" s="1"/>
  <c r="O57" i="6" s="1"/>
  <c r="O59" i="6" s="1"/>
  <c r="O58" i="3"/>
  <c r="O60" i="3" s="1"/>
  <c r="O61" i="3" s="1"/>
  <c r="H54" i="6"/>
  <c r="H56" i="6" s="1"/>
  <c r="H57" i="6" s="1"/>
  <c r="H59" i="6" s="1"/>
  <c r="H58" i="3"/>
  <c r="H60" i="3" s="1"/>
  <c r="H61" i="3" s="1"/>
  <c r="V54" i="6"/>
  <c r="V56" i="6" s="1"/>
  <c r="V57" i="6" s="1"/>
  <c r="V59" i="6" s="1"/>
  <c r="V58" i="3"/>
  <c r="V60" i="3" s="1"/>
  <c r="V61" i="3" s="1"/>
  <c r="K54" i="6"/>
  <c r="K56" i="6" s="1"/>
  <c r="K57" i="6" s="1"/>
  <c r="K59" i="6" s="1"/>
  <c r="K58" i="3"/>
  <c r="K60" i="3" s="1"/>
  <c r="K61" i="3" s="1"/>
  <c r="N54" i="6"/>
  <c r="N56" i="6" s="1"/>
  <c r="N57" i="6" s="1"/>
  <c r="N59" i="6" s="1"/>
  <c r="N58" i="3"/>
  <c r="N60" i="3" s="1"/>
  <c r="N61" i="3" s="1"/>
  <c r="L54" i="6"/>
  <c r="L56" i="6" s="1"/>
  <c r="L57" i="6" s="1"/>
  <c r="L59" i="6" s="1"/>
  <c r="L58" i="3"/>
  <c r="L60" i="3" s="1"/>
  <c r="L61" i="3" s="1"/>
  <c r="R54" i="6"/>
  <c r="R56" i="6" s="1"/>
  <c r="R57" i="6" s="1"/>
  <c r="R59" i="6" s="1"/>
  <c r="R58" i="3"/>
  <c r="R60" i="3" s="1"/>
  <c r="R61" i="3" s="1"/>
  <c r="AC54" i="6"/>
  <c r="AC56" i="6" s="1"/>
  <c r="AC57" i="6" s="1"/>
  <c r="AC59" i="6" s="1"/>
  <c r="AC58" i="3"/>
  <c r="AC60" i="3" s="1"/>
  <c r="AC61" i="3" s="1"/>
  <c r="G54" i="6"/>
  <c r="G58" i="3"/>
  <c r="G60" i="3" s="1"/>
  <c r="G61" i="3" s="1"/>
  <c r="D33" i="2"/>
  <c r="D34" i="2" s="1"/>
  <c r="D35" i="2" s="1"/>
  <c r="D34" i="6"/>
  <c r="AB23" i="6"/>
  <c r="D46" i="3"/>
  <c r="N49" i="3"/>
  <c r="F49" i="3"/>
  <c r="Z49" i="3"/>
  <c r="J49" i="3"/>
  <c r="R49" i="3"/>
  <c r="V49" i="3"/>
  <c r="F30" i="2"/>
  <c r="C32" i="2"/>
  <c r="C31" i="2"/>
  <c r="E50" i="6"/>
  <c r="E34" i="6"/>
  <c r="E53" i="6"/>
  <c r="E33" i="2"/>
  <c r="E34" i="2" s="1"/>
  <c r="E66" i="2"/>
  <c r="C28" i="2"/>
  <c r="AF9" i="6"/>
  <c r="AF35" i="6" s="1"/>
  <c r="AF36" i="6" s="1"/>
  <c r="T23" i="6"/>
  <c r="Y9" i="6"/>
  <c r="Y35" i="6" s="1"/>
  <c r="Y36" i="6" s="1"/>
  <c r="Y23" i="6"/>
  <c r="U9" i="6"/>
  <c r="U35" i="6" s="1"/>
  <c r="U36" i="6" s="1"/>
  <c r="U23" i="6"/>
  <c r="E9" i="6"/>
  <c r="E35" i="6" s="1"/>
  <c r="E23" i="6"/>
  <c r="Q9" i="6"/>
  <c r="Q35" i="6" s="1"/>
  <c r="Q36" i="6" s="1"/>
  <c r="Q23" i="6"/>
  <c r="AD9" i="6"/>
  <c r="AD35" i="6" s="1"/>
  <c r="AD36" i="6" s="1"/>
  <c r="AD23" i="6"/>
  <c r="N9" i="6"/>
  <c r="N35" i="6" s="1"/>
  <c r="N36" i="6" s="1"/>
  <c r="N23" i="6"/>
  <c r="I9" i="6"/>
  <c r="I35" i="6" s="1"/>
  <c r="I36" i="6" s="1"/>
  <c r="I23" i="6"/>
  <c r="Z23" i="6"/>
  <c r="Z9" i="6"/>
  <c r="Z35" i="6" s="1"/>
  <c r="Z36" i="6" s="1"/>
  <c r="J23" i="6"/>
  <c r="J9" i="6"/>
  <c r="J35" i="6" s="1"/>
  <c r="J36" i="6" s="1"/>
  <c r="V9" i="6"/>
  <c r="V35" i="6" s="1"/>
  <c r="V36" i="6" s="1"/>
  <c r="V23" i="6"/>
  <c r="F23" i="6"/>
  <c r="F9" i="6"/>
  <c r="F35" i="6" s="1"/>
  <c r="R23" i="6"/>
  <c r="R9" i="6"/>
  <c r="R35" i="6" s="1"/>
  <c r="R36" i="6" s="1"/>
  <c r="D23" i="6"/>
  <c r="D9" i="6"/>
  <c r="AC9" i="6"/>
  <c r="AC35" i="6" s="1"/>
  <c r="AC36" i="6" s="1"/>
  <c r="AC23" i="6"/>
  <c r="M9" i="6"/>
  <c r="M35" i="6" s="1"/>
  <c r="M36" i="6" s="1"/>
  <c r="M23" i="6"/>
  <c r="AC49" i="3"/>
  <c r="I49" i="3"/>
  <c r="M49" i="3"/>
  <c r="Q49" i="3"/>
  <c r="AB49" i="3"/>
  <c r="L49" i="3"/>
  <c r="O49" i="3"/>
  <c r="Y49" i="3"/>
  <c r="X49" i="3"/>
  <c r="H49" i="3"/>
  <c r="S37" i="3"/>
  <c r="G49" i="3"/>
  <c r="AA49" i="3"/>
  <c r="AA37" i="3"/>
  <c r="W37" i="3"/>
  <c r="AC37" i="3"/>
  <c r="M37" i="3"/>
  <c r="K37" i="3"/>
  <c r="U49" i="3"/>
  <c r="S49" i="3"/>
  <c r="E49" i="3"/>
  <c r="T49" i="3"/>
  <c r="P49" i="3"/>
  <c r="G37" i="3"/>
  <c r="W49" i="3"/>
  <c r="Y37" i="3"/>
  <c r="Q37" i="3"/>
  <c r="X37" i="3"/>
  <c r="P37" i="3"/>
  <c r="H37" i="3"/>
  <c r="D48" i="3"/>
  <c r="Z37" i="3"/>
  <c r="Z63" i="3" s="1"/>
  <c r="J37" i="3"/>
  <c r="J63" i="3" s="1"/>
  <c r="E37" i="3"/>
  <c r="E63" i="3" s="1"/>
  <c r="C43" i="3"/>
  <c r="K49" i="3"/>
  <c r="O37" i="3"/>
  <c r="O63" i="3" s="1"/>
  <c r="U37" i="3"/>
  <c r="U63" i="3" s="1"/>
  <c r="I37" i="3"/>
  <c r="I63" i="3" s="1"/>
  <c r="AB37" i="3"/>
  <c r="AB63" i="3" s="1"/>
  <c r="T37" i="3"/>
  <c r="T63" i="3" s="1"/>
  <c r="L37" i="3"/>
  <c r="L63" i="3" s="1"/>
  <c r="H35" i="6"/>
  <c r="H36" i="6" s="1"/>
  <c r="J219" i="1"/>
  <c r="J221" i="1"/>
  <c r="J184" i="1"/>
  <c r="J186" i="1"/>
  <c r="J185" i="1"/>
  <c r="J222" i="1"/>
  <c r="J180" i="1"/>
  <c r="J182" i="1"/>
  <c r="J218" i="1"/>
  <c r="J181" i="1"/>
  <c r="J220" i="1"/>
  <c r="J217" i="1"/>
  <c r="C12" i="10"/>
  <c r="C11" i="10"/>
  <c r="C10" i="10"/>
  <c r="V37" i="3"/>
  <c r="V63" i="3" s="1"/>
  <c r="C25" i="3"/>
  <c r="N37" i="3"/>
  <c r="N63" i="3" s="1"/>
  <c r="F37" i="3"/>
  <c r="F63" i="3" s="1"/>
  <c r="R37" i="3"/>
  <c r="R63" i="3" s="1"/>
  <c r="D37" i="3"/>
  <c r="D63" i="3" s="1"/>
  <c r="C25" i="4"/>
  <c r="C7" i="7" s="1"/>
  <c r="M15" i="10" l="1"/>
  <c r="K15" i="10"/>
  <c r="I15" i="10"/>
  <c r="N15" i="10"/>
  <c r="E18" i="10"/>
  <c r="E9" i="19" s="1"/>
  <c r="AJ132" i="1"/>
  <c r="AG17" i="10"/>
  <c r="AB15" i="10"/>
  <c r="U15" i="10"/>
  <c r="AA15" i="10"/>
  <c r="W17" i="10"/>
  <c r="AA17" i="10"/>
  <c r="AF17" i="10"/>
  <c r="V17" i="10"/>
  <c r="L17" i="10"/>
  <c r="T17" i="10"/>
  <c r="AG9" i="3"/>
  <c r="AJ11" i="31"/>
  <c r="AI12" i="31"/>
  <c r="O15" i="10"/>
  <c r="S17" i="10"/>
  <c r="K17" i="10"/>
  <c r="K18" i="10" s="1"/>
  <c r="K9" i="19" s="1"/>
  <c r="K16" i="19" s="1"/>
  <c r="Z15" i="10"/>
  <c r="U17" i="10"/>
  <c r="AD17" i="10"/>
  <c r="H17" i="10"/>
  <c r="AE15" i="10"/>
  <c r="AC17" i="10"/>
  <c r="R15" i="10"/>
  <c r="T15" i="10"/>
  <c r="Q15" i="10"/>
  <c r="F17" i="10"/>
  <c r="AF15" i="10"/>
  <c r="AF18" i="10" s="1"/>
  <c r="AF9" i="19" s="1"/>
  <c r="Y15" i="10"/>
  <c r="AJ130" i="1"/>
  <c r="AG15" i="10"/>
  <c r="AG18" i="10" s="1"/>
  <c r="AG9" i="19" s="1"/>
  <c r="AF11" i="3"/>
  <c r="AH14" i="31"/>
  <c r="AH15" i="31" s="1"/>
  <c r="AI13" i="31"/>
  <c r="L15" i="10"/>
  <c r="L18" i="10" s="1"/>
  <c r="L9" i="19" s="1"/>
  <c r="F15" i="10"/>
  <c r="AD15" i="10"/>
  <c r="AD18" i="10" s="1"/>
  <c r="AD9" i="19" s="1"/>
  <c r="P17" i="10"/>
  <c r="X15" i="10"/>
  <c r="X18" i="10" s="1"/>
  <c r="X9" i="19" s="1"/>
  <c r="M17" i="10"/>
  <c r="M18" i="10" s="1"/>
  <c r="M9" i="19" s="1"/>
  <c r="W15" i="10"/>
  <c r="Z17" i="10"/>
  <c r="O17" i="10"/>
  <c r="S15" i="10"/>
  <c r="S18" i="10" s="1"/>
  <c r="S9" i="19" s="1"/>
  <c r="Y17" i="10"/>
  <c r="R17" i="10"/>
  <c r="N17" i="10"/>
  <c r="N18" i="10" s="1"/>
  <c r="N9" i="19" s="1"/>
  <c r="N16" i="19" s="1"/>
  <c r="P15" i="10"/>
  <c r="Q17" i="10"/>
  <c r="J17" i="10"/>
  <c r="G17" i="10"/>
  <c r="X17" i="10"/>
  <c r="G15" i="10"/>
  <c r="AB17" i="10"/>
  <c r="J15" i="10"/>
  <c r="J18" i="10" s="1"/>
  <c r="J9" i="19" s="1"/>
  <c r="J16" i="19" s="1"/>
  <c r="H15" i="10"/>
  <c r="I17" i="10"/>
  <c r="AC15" i="10"/>
  <c r="V15" i="10"/>
  <c r="AE17" i="10"/>
  <c r="D37" i="6"/>
  <c r="D18" i="10"/>
  <c r="D9" i="19" s="1"/>
  <c r="AF33" i="3"/>
  <c r="F50" i="6"/>
  <c r="F7" i="6"/>
  <c r="F53" i="6" s="1"/>
  <c r="F56" i="6" s="1"/>
  <c r="N64" i="3"/>
  <c r="N65" i="3" s="1"/>
  <c r="U64" i="3"/>
  <c r="U65" i="3" s="1"/>
  <c r="AD13" i="3"/>
  <c r="AE12" i="3"/>
  <c r="AE13" i="3" s="1"/>
  <c r="AE57" i="3" s="1"/>
  <c r="AE59" i="3" s="1"/>
  <c r="AE61" i="3" s="1"/>
  <c r="AE35" i="3"/>
  <c r="AD47" i="3"/>
  <c r="AD36" i="3"/>
  <c r="AE45" i="3"/>
  <c r="AE46" i="3" s="1"/>
  <c r="AE34" i="3"/>
  <c r="H22" i="9"/>
  <c r="I22" i="9"/>
  <c r="C54" i="6"/>
  <c r="E56" i="6"/>
  <c r="R64" i="3"/>
  <c r="R65" i="3" s="1"/>
  <c r="J64" i="3"/>
  <c r="J65" i="3" s="1"/>
  <c r="L64" i="3"/>
  <c r="L65" i="3" s="1"/>
  <c r="T64" i="3"/>
  <c r="T65" i="3" s="1"/>
  <c r="AB64" i="3"/>
  <c r="AB65" i="3" s="1"/>
  <c r="H21" i="6"/>
  <c r="H63" i="3"/>
  <c r="H64" i="3" s="1"/>
  <c r="H65" i="3" s="1"/>
  <c r="P8" i="6"/>
  <c r="P11" i="6" s="1"/>
  <c r="P63" i="3"/>
  <c r="P64" i="3" s="1"/>
  <c r="P65" i="3" s="1"/>
  <c r="M8" i="6"/>
  <c r="M11" i="6" s="1"/>
  <c r="M63" i="3"/>
  <c r="S21" i="6"/>
  <c r="S25" i="6" s="1"/>
  <c r="S63" i="3"/>
  <c r="X21" i="6"/>
  <c r="X25" i="6" s="1"/>
  <c r="X63" i="3"/>
  <c r="X64" i="3" s="1"/>
  <c r="X65" i="3" s="1"/>
  <c r="AC8" i="6"/>
  <c r="AC11" i="6" s="1"/>
  <c r="AC63" i="3"/>
  <c r="AC64" i="3" s="1"/>
  <c r="AC65" i="3" s="1"/>
  <c r="E64" i="3"/>
  <c r="E65" i="3" s="1"/>
  <c r="F64" i="3"/>
  <c r="F65" i="3" s="1"/>
  <c r="D60" i="3"/>
  <c r="C58" i="3"/>
  <c r="K21" i="6"/>
  <c r="K25" i="6" s="1"/>
  <c r="K63" i="3"/>
  <c r="W21" i="6"/>
  <c r="W25" i="6" s="1"/>
  <c r="W63" i="3"/>
  <c r="W64" i="3" s="1"/>
  <c r="W65" i="3" s="1"/>
  <c r="V64" i="3"/>
  <c r="V65" i="3" s="1"/>
  <c r="Q8" i="6"/>
  <c r="Q38" i="6" s="1"/>
  <c r="Q40" i="6" s="1"/>
  <c r="Q41" i="6" s="1"/>
  <c r="Q43" i="6" s="1"/>
  <c r="Q63" i="3"/>
  <c r="Q64" i="3" s="1"/>
  <c r="Q65" i="3" s="1"/>
  <c r="AA21" i="6"/>
  <c r="AA25" i="6" s="1"/>
  <c r="AA63" i="3"/>
  <c r="O64" i="3"/>
  <c r="O65" i="3" s="1"/>
  <c r="I64" i="3"/>
  <c r="I65" i="3" s="1"/>
  <c r="Z64" i="3"/>
  <c r="Z65" i="3" s="1"/>
  <c r="G8" i="6"/>
  <c r="G11" i="6" s="1"/>
  <c r="G63" i="3"/>
  <c r="G64" i="3" s="1"/>
  <c r="G65" i="3" s="1"/>
  <c r="Y8" i="6"/>
  <c r="Y38" i="6" s="1"/>
  <c r="Y40" i="6" s="1"/>
  <c r="Y41" i="6" s="1"/>
  <c r="Y43" i="6" s="1"/>
  <c r="Y63" i="3"/>
  <c r="Y64" i="3" s="1"/>
  <c r="Y65" i="3" s="1"/>
  <c r="D37" i="2"/>
  <c r="D38" i="2" s="1"/>
  <c r="F33" i="2"/>
  <c r="C33" i="2" s="1"/>
  <c r="C30" i="2"/>
  <c r="C5" i="7" s="1"/>
  <c r="F34" i="6"/>
  <c r="E37" i="6"/>
  <c r="E37" i="2"/>
  <c r="E38" i="2" s="1"/>
  <c r="C66" i="2"/>
  <c r="E68" i="2"/>
  <c r="E7" i="19" s="1"/>
  <c r="C7" i="19" s="1"/>
  <c r="E35" i="2"/>
  <c r="C23" i="6"/>
  <c r="D26" i="7"/>
  <c r="D35" i="6"/>
  <c r="C35" i="6" s="1"/>
  <c r="C9" i="6"/>
  <c r="D7" i="7" s="1"/>
  <c r="S8" i="6"/>
  <c r="S11" i="6" s="1"/>
  <c r="P21" i="6"/>
  <c r="P25" i="6" s="1"/>
  <c r="M21" i="6"/>
  <c r="M25" i="6" s="1"/>
  <c r="W8" i="6"/>
  <c r="W38" i="6" s="1"/>
  <c r="W40" i="6" s="1"/>
  <c r="W41" i="6" s="1"/>
  <c r="W43" i="6" s="1"/>
  <c r="X8" i="6"/>
  <c r="X11" i="6" s="1"/>
  <c r="AC21" i="6"/>
  <c r="AC25" i="6" s="1"/>
  <c r="AA8" i="6"/>
  <c r="AA11" i="6" s="1"/>
  <c r="K8" i="6"/>
  <c r="K38" i="6" s="1"/>
  <c r="K40" i="6" s="1"/>
  <c r="K41" i="6" s="1"/>
  <c r="K43" i="6" s="1"/>
  <c r="H8" i="6"/>
  <c r="H38" i="6" s="1"/>
  <c r="H40" i="6" s="1"/>
  <c r="H41" i="6" s="1"/>
  <c r="H43" i="6" s="1"/>
  <c r="Q21" i="6"/>
  <c r="Q25" i="6" s="1"/>
  <c r="G21" i="6"/>
  <c r="Y21" i="6"/>
  <c r="Y25" i="6" s="1"/>
  <c r="D21" i="6"/>
  <c r="D8" i="6"/>
  <c r="N21" i="6"/>
  <c r="N25" i="6" s="1"/>
  <c r="N8" i="6"/>
  <c r="T8" i="6"/>
  <c r="T21" i="6"/>
  <c r="T25" i="6" s="1"/>
  <c r="O21" i="6"/>
  <c r="O25" i="6" s="1"/>
  <c r="O8" i="6"/>
  <c r="AB8" i="6"/>
  <c r="AB21" i="6"/>
  <c r="AB25" i="6" s="1"/>
  <c r="R21" i="6"/>
  <c r="R25" i="6" s="1"/>
  <c r="R8" i="6"/>
  <c r="V21" i="6"/>
  <c r="V25" i="6" s="1"/>
  <c r="V8" i="6"/>
  <c r="D49" i="3"/>
  <c r="I8" i="6"/>
  <c r="I21" i="6"/>
  <c r="I25" i="6" s="1"/>
  <c r="J21" i="6"/>
  <c r="J25" i="6" s="1"/>
  <c r="J8" i="6"/>
  <c r="F21" i="6"/>
  <c r="F8" i="6"/>
  <c r="F38" i="6" s="1"/>
  <c r="L8" i="6"/>
  <c r="L21" i="6"/>
  <c r="L25" i="6" s="1"/>
  <c r="U8" i="6"/>
  <c r="U21" i="6"/>
  <c r="U25" i="6" s="1"/>
  <c r="E21" i="6"/>
  <c r="E8" i="6"/>
  <c r="Z21" i="6"/>
  <c r="Z25" i="6" s="1"/>
  <c r="Z8" i="6"/>
  <c r="G53" i="6"/>
  <c r="G56" i="6" s="1"/>
  <c r="G37" i="6"/>
  <c r="E52" i="6"/>
  <c r="E36" i="6"/>
  <c r="D56" i="6"/>
  <c r="D52" i="6"/>
  <c r="C16" i="10"/>
  <c r="K217" i="1"/>
  <c r="K181" i="1"/>
  <c r="K222" i="1"/>
  <c r="K185" i="1"/>
  <c r="K221" i="1"/>
  <c r="K186" i="1"/>
  <c r="K218" i="1"/>
  <c r="K220" i="1"/>
  <c r="K182" i="1"/>
  <c r="K180" i="1"/>
  <c r="K184" i="1"/>
  <c r="K219" i="1"/>
  <c r="I18" i="10" l="1"/>
  <c r="I9" i="19" s="1"/>
  <c r="W18" i="10"/>
  <c r="W9" i="19" s="1"/>
  <c r="W16" i="19" s="1"/>
  <c r="P18" i="10"/>
  <c r="P9" i="19" s="1"/>
  <c r="AC18" i="10"/>
  <c r="AC9" i="19" s="1"/>
  <c r="AC16" i="19" s="1"/>
  <c r="T18" i="10"/>
  <c r="T9" i="19" s="1"/>
  <c r="AA18" i="10"/>
  <c r="AA9" i="19" s="1"/>
  <c r="G18" i="10"/>
  <c r="G9" i="19" s="1"/>
  <c r="G16" i="19" s="1"/>
  <c r="Y18" i="10"/>
  <c r="Y9" i="19" s="1"/>
  <c r="Y16" i="19" s="1"/>
  <c r="AK11" i="31"/>
  <c r="AH9" i="3"/>
  <c r="AJ12" i="31"/>
  <c r="H18" i="10"/>
  <c r="H9" i="19" s="1"/>
  <c r="F18" i="10"/>
  <c r="F9" i="19" s="1"/>
  <c r="R18" i="10"/>
  <c r="R9" i="19" s="1"/>
  <c r="R16" i="19" s="1"/>
  <c r="AG33" i="3"/>
  <c r="AG10" i="3"/>
  <c r="U18" i="10"/>
  <c r="U9" i="19" s="1"/>
  <c r="V18" i="10"/>
  <c r="V9" i="19" s="1"/>
  <c r="V16" i="19" s="1"/>
  <c r="O18" i="10"/>
  <c r="O9" i="19" s="1"/>
  <c r="O16" i="19" s="1"/>
  <c r="AB18" i="10"/>
  <c r="AB9" i="19" s="1"/>
  <c r="AB16" i="19" s="1"/>
  <c r="AK132" i="1"/>
  <c r="AH17" i="10"/>
  <c r="AG11" i="3"/>
  <c r="AJ13" i="31"/>
  <c r="AI14" i="31"/>
  <c r="AI15" i="31" s="1"/>
  <c r="AK130" i="1"/>
  <c r="AH15" i="10"/>
  <c r="Q18" i="10"/>
  <c r="Q9" i="19" s="1"/>
  <c r="AE18" i="10"/>
  <c r="AE9" i="19" s="1"/>
  <c r="Z18" i="10"/>
  <c r="Z9" i="19" s="1"/>
  <c r="Z16" i="19" s="1"/>
  <c r="AA16" i="19"/>
  <c r="H16" i="19"/>
  <c r="F16" i="19"/>
  <c r="M16" i="19"/>
  <c r="AQ10" i="6"/>
  <c r="C10" i="6" s="1"/>
  <c r="D6" i="7" s="1"/>
  <c r="Q16" i="19"/>
  <c r="X16" i="19"/>
  <c r="L16" i="19"/>
  <c r="S16" i="19"/>
  <c r="T16" i="19"/>
  <c r="D16" i="19"/>
  <c r="P16" i="19"/>
  <c r="AQ15" i="19"/>
  <c r="C15" i="19" s="1"/>
  <c r="U16" i="19"/>
  <c r="I16" i="19"/>
  <c r="AF10" i="3"/>
  <c r="AF35" i="3"/>
  <c r="E16" i="19"/>
  <c r="AC38" i="6"/>
  <c r="AC40" i="6" s="1"/>
  <c r="AC41" i="6" s="1"/>
  <c r="AC43" i="6" s="1"/>
  <c r="AE47" i="3"/>
  <c r="AE48" i="3" s="1"/>
  <c r="AE49" i="3" s="1"/>
  <c r="AE36" i="3"/>
  <c r="AE37" i="3" s="1"/>
  <c r="AD48" i="3"/>
  <c r="AQ24" i="6"/>
  <c r="C24" i="6" s="1"/>
  <c r="AD57" i="3"/>
  <c r="AF45" i="3"/>
  <c r="AF46" i="3" s="1"/>
  <c r="AF34" i="3"/>
  <c r="AD37" i="3"/>
  <c r="C6" i="7"/>
  <c r="Y11" i="6"/>
  <c r="E57" i="6"/>
  <c r="E59" i="6" s="1"/>
  <c r="M38" i="6"/>
  <c r="M40" i="6" s="1"/>
  <c r="M41" i="6" s="1"/>
  <c r="M43" i="6" s="1"/>
  <c r="G38" i="6"/>
  <c r="G40" i="6" s="1"/>
  <c r="Q11" i="6"/>
  <c r="K64" i="3"/>
  <c r="K65" i="3" s="1"/>
  <c r="P38" i="6"/>
  <c r="P40" i="6" s="1"/>
  <c r="P41" i="6" s="1"/>
  <c r="P43" i="6" s="1"/>
  <c r="M64" i="3"/>
  <c r="M65" i="3" s="1"/>
  <c r="C60" i="3"/>
  <c r="D61" i="3"/>
  <c r="AA64" i="3"/>
  <c r="AA65" i="3" s="1"/>
  <c r="S64" i="3"/>
  <c r="S65" i="3" s="1"/>
  <c r="D39" i="2"/>
  <c r="D36" i="6"/>
  <c r="F37" i="6"/>
  <c r="C37" i="6" s="1"/>
  <c r="F37" i="2"/>
  <c r="C37" i="2" s="1"/>
  <c r="C15" i="7" s="1"/>
  <c r="C17" i="7" s="1"/>
  <c r="F34" i="2"/>
  <c r="F35" i="2" s="1"/>
  <c r="C7" i="6"/>
  <c r="D5" i="7" s="1"/>
  <c r="S38" i="6"/>
  <c r="S40" i="6" s="1"/>
  <c r="S41" i="6" s="1"/>
  <c r="S43" i="6" s="1"/>
  <c r="C68" i="2"/>
  <c r="E39" i="2"/>
  <c r="E26" i="7"/>
  <c r="W11" i="6"/>
  <c r="X38" i="6"/>
  <c r="X40" i="6" s="1"/>
  <c r="X41" i="6" s="1"/>
  <c r="X43" i="6" s="1"/>
  <c r="K11" i="6"/>
  <c r="AA38" i="6"/>
  <c r="AA40" i="6" s="1"/>
  <c r="AA41" i="6" s="1"/>
  <c r="AA43" i="6" s="1"/>
  <c r="H11" i="6"/>
  <c r="F11" i="6"/>
  <c r="L11" i="6"/>
  <c r="L38" i="6"/>
  <c r="L40" i="6" s="1"/>
  <c r="L41" i="6" s="1"/>
  <c r="L43" i="6" s="1"/>
  <c r="I11" i="6"/>
  <c r="I38" i="6"/>
  <c r="I40" i="6" s="1"/>
  <c r="I41" i="6" s="1"/>
  <c r="I43" i="6" s="1"/>
  <c r="AB11" i="6"/>
  <c r="AB38" i="6"/>
  <c r="AB40" i="6" s="1"/>
  <c r="AB41" i="6" s="1"/>
  <c r="AB43" i="6" s="1"/>
  <c r="J11" i="6"/>
  <c r="J38" i="6"/>
  <c r="J40" i="6" s="1"/>
  <c r="J41" i="6" s="1"/>
  <c r="J43" i="6" s="1"/>
  <c r="R11" i="6"/>
  <c r="R38" i="6"/>
  <c r="R40" i="6" s="1"/>
  <c r="R41" i="6" s="1"/>
  <c r="R43" i="6" s="1"/>
  <c r="T11" i="6"/>
  <c r="T38" i="6"/>
  <c r="T40" i="6" s="1"/>
  <c r="T41" i="6" s="1"/>
  <c r="T43" i="6" s="1"/>
  <c r="D38" i="6"/>
  <c r="D40" i="6" s="1"/>
  <c r="D11" i="6"/>
  <c r="U11" i="6"/>
  <c r="U38" i="6"/>
  <c r="U40" i="6" s="1"/>
  <c r="U41" i="6" s="1"/>
  <c r="U43" i="6" s="1"/>
  <c r="O11" i="6"/>
  <c r="O38" i="6"/>
  <c r="O40" i="6" s="1"/>
  <c r="O41" i="6" s="1"/>
  <c r="O43" i="6" s="1"/>
  <c r="Z11" i="6"/>
  <c r="Z38" i="6"/>
  <c r="Z40" i="6" s="1"/>
  <c r="Z41" i="6" s="1"/>
  <c r="Z43" i="6" s="1"/>
  <c r="E38" i="6"/>
  <c r="E40" i="6" s="1"/>
  <c r="E41" i="6" s="1"/>
  <c r="E43" i="6" s="1"/>
  <c r="E11" i="6"/>
  <c r="V11" i="6"/>
  <c r="V38" i="6"/>
  <c r="V40" i="6" s="1"/>
  <c r="V41" i="6" s="1"/>
  <c r="V43" i="6" s="1"/>
  <c r="N11" i="6"/>
  <c r="N38" i="6"/>
  <c r="N40" i="6" s="1"/>
  <c r="N41" i="6" s="1"/>
  <c r="N43" i="6" s="1"/>
  <c r="C53" i="6"/>
  <c r="C56" i="6"/>
  <c r="G36" i="6"/>
  <c r="G52" i="6"/>
  <c r="G57" i="6" s="1"/>
  <c r="G59" i="6" s="1"/>
  <c r="D57" i="6"/>
  <c r="D59" i="6" s="1"/>
  <c r="L182" i="1"/>
  <c r="L218" i="1"/>
  <c r="L221" i="1"/>
  <c r="L181" i="1"/>
  <c r="L219" i="1"/>
  <c r="L222" i="1"/>
  <c r="L180" i="1"/>
  <c r="L220" i="1"/>
  <c r="L186" i="1"/>
  <c r="L217" i="1"/>
  <c r="L184" i="1"/>
  <c r="L185" i="1"/>
  <c r="AL130" i="1" l="1"/>
  <c r="AI15" i="10"/>
  <c r="AG45" i="3"/>
  <c r="AG46" i="3" s="1"/>
  <c r="AG34" i="3"/>
  <c r="AJ15" i="31"/>
  <c r="AL132" i="1"/>
  <c r="AI17" i="10"/>
  <c r="AH10" i="3"/>
  <c r="AH33" i="3"/>
  <c r="AK13" i="31"/>
  <c r="AH11" i="3"/>
  <c r="AJ14" i="31"/>
  <c r="AI9" i="3"/>
  <c r="AL11" i="31"/>
  <c r="AK12" i="31"/>
  <c r="AH18" i="10"/>
  <c r="AH9" i="19" s="1"/>
  <c r="AG12" i="3"/>
  <c r="AG35" i="3"/>
  <c r="AG13" i="3"/>
  <c r="AG57" i="3" s="1"/>
  <c r="AG59" i="3" s="1"/>
  <c r="AG61" i="3" s="1"/>
  <c r="AE16" i="19"/>
  <c r="AF12" i="3"/>
  <c r="AF13" i="3" s="1"/>
  <c r="AD21" i="6"/>
  <c r="AD8" i="6"/>
  <c r="AD63" i="3"/>
  <c r="AD49" i="3"/>
  <c r="AF47" i="3"/>
  <c r="AF36" i="3"/>
  <c r="AD59" i="3"/>
  <c r="AE8" i="6"/>
  <c r="AE63" i="3"/>
  <c r="AE64" i="3" s="1"/>
  <c r="AE65" i="3" s="1"/>
  <c r="AE21" i="6"/>
  <c r="AE25" i="6" s="1"/>
  <c r="F40" i="6"/>
  <c r="D64" i="3"/>
  <c r="D41" i="6"/>
  <c r="D43" i="6" s="1"/>
  <c r="D44" i="6" s="1"/>
  <c r="E44" i="6" s="1"/>
  <c r="F39" i="2"/>
  <c r="C39" i="2" s="1"/>
  <c r="C35" i="2"/>
  <c r="F26" i="7"/>
  <c r="C26" i="7" s="1"/>
  <c r="F38" i="2"/>
  <c r="C38" i="2" s="1"/>
  <c r="C34" i="2"/>
  <c r="D58" i="6"/>
  <c r="E58" i="6" s="1"/>
  <c r="D60" i="6"/>
  <c r="E60" i="6" s="1"/>
  <c r="G41" i="6"/>
  <c r="G43" i="6" s="1"/>
  <c r="M184" i="1"/>
  <c r="M186" i="1"/>
  <c r="M222" i="1"/>
  <c r="M181" i="1"/>
  <c r="M220" i="1"/>
  <c r="M219" i="1"/>
  <c r="M218" i="1"/>
  <c r="M217" i="1"/>
  <c r="M185" i="1"/>
  <c r="M180" i="1"/>
  <c r="M221" i="1"/>
  <c r="M182" i="1"/>
  <c r="AG36" i="3" l="1"/>
  <c r="AG47" i="3"/>
  <c r="AG48" i="3" s="1"/>
  <c r="AG49" i="3" s="1"/>
  <c r="AG16" i="19" s="1"/>
  <c r="AJ9" i="3"/>
  <c r="AM11" i="31"/>
  <c r="AL12" i="31"/>
  <c r="AI11" i="3"/>
  <c r="AK14" i="31"/>
  <c r="AK15" i="31" s="1"/>
  <c r="AL13" i="31"/>
  <c r="AM132" i="1"/>
  <c r="AJ17" i="10"/>
  <c r="AI18" i="10"/>
  <c r="AI33" i="3"/>
  <c r="AI10" i="3"/>
  <c r="AH45" i="3"/>
  <c r="AH46" i="3" s="1"/>
  <c r="AH34" i="3"/>
  <c r="AM130" i="1"/>
  <c r="AJ15" i="10"/>
  <c r="AH12" i="3"/>
  <c r="AH13" i="3" s="1"/>
  <c r="AH57" i="3" s="1"/>
  <c r="AH59" i="3" s="1"/>
  <c r="AH61" i="3" s="1"/>
  <c r="AH35" i="3"/>
  <c r="AG37" i="3"/>
  <c r="AD11" i="6"/>
  <c r="AD38" i="6"/>
  <c r="AD61" i="3"/>
  <c r="AD64" i="3" s="1"/>
  <c r="AD65" i="3" s="1"/>
  <c r="AF48" i="3"/>
  <c r="AD25" i="6"/>
  <c r="AF37" i="3"/>
  <c r="AE11" i="6"/>
  <c r="AE38" i="6"/>
  <c r="AE40" i="6" s="1"/>
  <c r="AE41" i="6" s="1"/>
  <c r="AE43" i="6" s="1"/>
  <c r="AF57" i="3"/>
  <c r="D65" i="3"/>
  <c r="D42" i="6"/>
  <c r="E42" i="6" s="1"/>
  <c r="F52" i="6"/>
  <c r="C50" i="6"/>
  <c r="F36" i="6"/>
  <c r="C34" i="6"/>
  <c r="N185" i="1"/>
  <c r="N218" i="1"/>
  <c r="N184" i="1"/>
  <c r="N221" i="1"/>
  <c r="N180" i="1"/>
  <c r="N217" i="1"/>
  <c r="N181" i="1"/>
  <c r="N219" i="1"/>
  <c r="N220" i="1"/>
  <c r="N186" i="1"/>
  <c r="N182" i="1"/>
  <c r="N222" i="1"/>
  <c r="AN130" i="1" l="1"/>
  <c r="AK15" i="10"/>
  <c r="AI12" i="3"/>
  <c r="AI13" i="3" s="1"/>
  <c r="AI57" i="3" s="1"/>
  <c r="AI59" i="3" s="1"/>
  <c r="AI61" i="3" s="1"/>
  <c r="AI35" i="3"/>
  <c r="AH47" i="3"/>
  <c r="AH48" i="3" s="1"/>
  <c r="AH36" i="3"/>
  <c r="AH37" i="3"/>
  <c r="AI45" i="3"/>
  <c r="AI34" i="3"/>
  <c r="AN132" i="1"/>
  <c r="AK17" i="10"/>
  <c r="AH49" i="3"/>
  <c r="AH16" i="19" s="1"/>
  <c r="AJ11" i="3"/>
  <c r="AL14" i="31"/>
  <c r="AL15" i="31" s="1"/>
  <c r="AM13" i="31"/>
  <c r="AK9" i="3"/>
  <c r="AN11" i="31"/>
  <c r="AM12" i="31"/>
  <c r="AG63" i="3"/>
  <c r="AG64" i="3" s="1"/>
  <c r="AG65" i="3" s="1"/>
  <c r="AG21" i="6"/>
  <c r="AG25" i="6" s="1"/>
  <c r="AG8" i="6"/>
  <c r="AJ18" i="10"/>
  <c r="AJ9" i="19" s="1"/>
  <c r="AI9" i="19"/>
  <c r="AJ33" i="3"/>
  <c r="AJ10" i="3"/>
  <c r="AD16" i="19"/>
  <c r="AD40" i="6"/>
  <c r="AF59" i="3"/>
  <c r="AF8" i="6"/>
  <c r="AF21" i="6"/>
  <c r="AF63" i="3"/>
  <c r="AF49" i="3"/>
  <c r="F41" i="6"/>
  <c r="F43" i="6" s="1"/>
  <c r="C36" i="6"/>
  <c r="F57" i="6"/>
  <c r="C52" i="6"/>
  <c r="O186" i="1"/>
  <c r="O181" i="1"/>
  <c r="O180" i="1"/>
  <c r="O184" i="1"/>
  <c r="O185" i="1"/>
  <c r="O219" i="1"/>
  <c r="O218" i="1"/>
  <c r="O182" i="1"/>
  <c r="O220" i="1"/>
  <c r="O217" i="1"/>
  <c r="O221" i="1"/>
  <c r="O222" i="1"/>
  <c r="AH8" i="6" l="1"/>
  <c r="AH63" i="3"/>
  <c r="AH64" i="3" s="1"/>
  <c r="AH65" i="3" s="1"/>
  <c r="AH21" i="6"/>
  <c r="AH25" i="6" s="1"/>
  <c r="AK18" i="10"/>
  <c r="AI46" i="3"/>
  <c r="AK33" i="3"/>
  <c r="AK10" i="3"/>
  <c r="AI36" i="3"/>
  <c r="AI47" i="3"/>
  <c r="AK11" i="3"/>
  <c r="AN13" i="31"/>
  <c r="AM14" i="31"/>
  <c r="AM15" i="31" s="1"/>
  <c r="AO130" i="1"/>
  <c r="AL15" i="10"/>
  <c r="AJ45" i="3"/>
  <c r="AJ46" i="3" s="1"/>
  <c r="AJ34" i="3"/>
  <c r="AG38" i="6"/>
  <c r="AG40" i="6" s="1"/>
  <c r="AG41" i="6" s="1"/>
  <c r="AG43" i="6" s="1"/>
  <c r="AG11" i="6"/>
  <c r="AL9" i="3"/>
  <c r="AO11" i="31"/>
  <c r="AN12" i="31"/>
  <c r="AJ12" i="3"/>
  <c r="AJ13" i="3" s="1"/>
  <c r="AJ35" i="3"/>
  <c r="AO132" i="1"/>
  <c r="AL17" i="10"/>
  <c r="AD41" i="6"/>
  <c r="AD43" i="6" s="1"/>
  <c r="AF25" i="6"/>
  <c r="AF11" i="6"/>
  <c r="AF38" i="6"/>
  <c r="AF61" i="3"/>
  <c r="F59" i="6"/>
  <c r="C59" i="6" s="1"/>
  <c r="F44" i="6"/>
  <c r="G44" i="6" s="1"/>
  <c r="F42" i="6"/>
  <c r="C57" i="6"/>
  <c r="F58" i="6"/>
  <c r="P219" i="1"/>
  <c r="P220" i="1"/>
  <c r="P185" i="1"/>
  <c r="P180" i="1"/>
  <c r="P181" i="1"/>
  <c r="P222" i="1"/>
  <c r="P221" i="1"/>
  <c r="P217" i="1"/>
  <c r="P182" i="1"/>
  <c r="P218" i="1"/>
  <c r="P184" i="1"/>
  <c r="P186" i="1"/>
  <c r="AL18" i="10" l="1"/>
  <c r="AL9" i="19" s="1"/>
  <c r="AJ57" i="3"/>
  <c r="AP130" i="1"/>
  <c r="AM15" i="10"/>
  <c r="AK12" i="3"/>
  <c r="AK35" i="3"/>
  <c r="AP132" i="1"/>
  <c r="AM17" i="10"/>
  <c r="AM9" i="3"/>
  <c r="AP11" i="31"/>
  <c r="AO12" i="31"/>
  <c r="AI37" i="3"/>
  <c r="AK13" i="3"/>
  <c r="AK57" i="3" s="1"/>
  <c r="AK59" i="3" s="1"/>
  <c r="AK61" i="3" s="1"/>
  <c r="AH38" i="6"/>
  <c r="AH40" i="6" s="1"/>
  <c r="AH41" i="6" s="1"/>
  <c r="AH43" i="6" s="1"/>
  <c r="AH11" i="6"/>
  <c r="AL11" i="3"/>
  <c r="AN14" i="31"/>
  <c r="AN15" i="31" s="1"/>
  <c r="AO13" i="31"/>
  <c r="AJ36" i="3"/>
  <c r="AJ37" i="3" s="1"/>
  <c r="AJ47" i="3"/>
  <c r="AJ48" i="3" s="1"/>
  <c r="AJ49" i="3" s="1"/>
  <c r="AJ16" i="19" s="1"/>
  <c r="AL10" i="3"/>
  <c r="AL33" i="3"/>
  <c r="AI48" i="3"/>
  <c r="AK45" i="3"/>
  <c r="AK46" i="3" s="1"/>
  <c r="AK34" i="3"/>
  <c r="AK9" i="19"/>
  <c r="AF40" i="6"/>
  <c r="AF16" i="19"/>
  <c r="AF64" i="3"/>
  <c r="F60" i="6"/>
  <c r="G60" i="6" s="1"/>
  <c r="H60" i="6" s="1"/>
  <c r="I60" i="6" s="1"/>
  <c r="J60" i="6" s="1"/>
  <c r="K60" i="6" s="1"/>
  <c r="L60" i="6" s="1"/>
  <c r="M60" i="6" s="1"/>
  <c r="N60" i="6" s="1"/>
  <c r="O60" i="6" s="1"/>
  <c r="P60" i="6" s="1"/>
  <c r="Q60" i="6" s="1"/>
  <c r="R60" i="6" s="1"/>
  <c r="S60" i="6" s="1"/>
  <c r="T60" i="6" s="1"/>
  <c r="U60" i="6" s="1"/>
  <c r="V60" i="6" s="1"/>
  <c r="W60" i="6" s="1"/>
  <c r="X60" i="6" s="1"/>
  <c r="Y60" i="6" s="1"/>
  <c r="Z60" i="6" s="1"/>
  <c r="AA60" i="6" s="1"/>
  <c r="AB60" i="6" s="1"/>
  <c r="AC60" i="6" s="1"/>
  <c r="AD60" i="6" s="1"/>
  <c r="AE60" i="6" s="1"/>
  <c r="AF60" i="6" s="1"/>
  <c r="AG60" i="6" s="1"/>
  <c r="AH60" i="6" s="1"/>
  <c r="AI60" i="6" s="1"/>
  <c r="AJ60" i="6" s="1"/>
  <c r="AK60" i="6" s="1"/>
  <c r="AL60" i="6" s="1"/>
  <c r="AM60" i="6" s="1"/>
  <c r="AN60" i="6" s="1"/>
  <c r="AO60" i="6" s="1"/>
  <c r="AP60" i="6" s="1"/>
  <c r="AQ60" i="6" s="1"/>
  <c r="H44" i="6"/>
  <c r="I44" i="6" s="1"/>
  <c r="J44" i="6" s="1"/>
  <c r="K44" i="6" s="1"/>
  <c r="L44" i="6" s="1"/>
  <c r="M44" i="6" s="1"/>
  <c r="N44" i="6" s="1"/>
  <c r="O44" i="6" s="1"/>
  <c r="P44" i="6" s="1"/>
  <c r="Q44" i="6" s="1"/>
  <c r="R44" i="6" s="1"/>
  <c r="S44" i="6" s="1"/>
  <c r="T44" i="6" s="1"/>
  <c r="U44" i="6" s="1"/>
  <c r="V44" i="6" s="1"/>
  <c r="W44" i="6" s="1"/>
  <c r="X44" i="6" s="1"/>
  <c r="Y44" i="6" s="1"/>
  <c r="Z44" i="6" s="1"/>
  <c r="AA44" i="6" s="1"/>
  <c r="AB44" i="6" s="1"/>
  <c r="AC44" i="6" s="1"/>
  <c r="AD44" i="6" s="1"/>
  <c r="AE44" i="6" s="1"/>
  <c r="G42" i="6"/>
  <c r="H42" i="6" s="1"/>
  <c r="G58" i="6"/>
  <c r="Q184" i="1"/>
  <c r="Q185" i="1"/>
  <c r="Q218" i="1"/>
  <c r="Q217" i="1"/>
  <c r="Q222" i="1"/>
  <c r="Q180" i="1"/>
  <c r="Q220" i="1"/>
  <c r="Q219" i="1"/>
  <c r="Q186" i="1"/>
  <c r="Q182" i="1"/>
  <c r="Q221" i="1"/>
  <c r="Q181" i="1"/>
  <c r="AL12" i="3" l="1"/>
  <c r="AL35" i="3"/>
  <c r="AN9" i="3"/>
  <c r="AQ11" i="31"/>
  <c r="AP12" i="31"/>
  <c r="AK36" i="3"/>
  <c r="AK47" i="3"/>
  <c r="AK48" i="3" s="1"/>
  <c r="AK49" i="3" s="1"/>
  <c r="AK16" i="19" s="1"/>
  <c r="AK37" i="3"/>
  <c r="AI63" i="3"/>
  <c r="AI21" i="6"/>
  <c r="AI8" i="6"/>
  <c r="AM33" i="3"/>
  <c r="AM10" i="3"/>
  <c r="AL45" i="3"/>
  <c r="AL46" i="3" s="1"/>
  <c r="AL34" i="3"/>
  <c r="AM11" i="3"/>
  <c r="AP13" i="31"/>
  <c r="AO14" i="31"/>
  <c r="AO15" i="31" s="1"/>
  <c r="AJ8" i="6"/>
  <c r="AJ63" i="3"/>
  <c r="AJ21" i="6"/>
  <c r="AJ25" i="6" s="1"/>
  <c r="AI49" i="3"/>
  <c r="AM18" i="10"/>
  <c r="AJ59" i="3"/>
  <c r="AQ132" i="1"/>
  <c r="AN17" i="10"/>
  <c r="AQ130" i="1"/>
  <c r="AN15" i="10"/>
  <c r="AF65" i="3"/>
  <c r="AF41" i="6"/>
  <c r="H58" i="6"/>
  <c r="R186" i="1"/>
  <c r="R219" i="1"/>
  <c r="R217" i="1"/>
  <c r="R218" i="1"/>
  <c r="R185" i="1"/>
  <c r="R221" i="1"/>
  <c r="R181" i="1"/>
  <c r="R182" i="1"/>
  <c r="R220" i="1"/>
  <c r="R180" i="1"/>
  <c r="R222" i="1"/>
  <c r="R184" i="1"/>
  <c r="AR132" i="1" l="1"/>
  <c r="AO17" i="10"/>
  <c r="AR130" i="1"/>
  <c r="AO15" i="10"/>
  <c r="AI11" i="6"/>
  <c r="AI38" i="6"/>
  <c r="AK21" i="6"/>
  <c r="AK25" i="6" s="1"/>
  <c r="AK8" i="6"/>
  <c r="AK63" i="3"/>
  <c r="AK64" i="3" s="1"/>
  <c r="AK65" i="3" s="1"/>
  <c r="AO9" i="3"/>
  <c r="AR11" i="31"/>
  <c r="AQ12" i="31"/>
  <c r="AL13" i="3"/>
  <c r="AJ61" i="3"/>
  <c r="AJ64" i="3"/>
  <c r="AJ65" i="3" s="1"/>
  <c r="AN11" i="3"/>
  <c r="AP14" i="31"/>
  <c r="AP15" i="31" s="1"/>
  <c r="AQ13" i="31"/>
  <c r="AI25" i="6"/>
  <c r="AN33" i="3"/>
  <c r="AN10" i="3"/>
  <c r="AN18" i="10"/>
  <c r="AN9" i="19" s="1"/>
  <c r="AM9" i="19"/>
  <c r="AJ11" i="6"/>
  <c r="AJ38" i="6"/>
  <c r="AJ40" i="6" s="1"/>
  <c r="AJ41" i="6" s="1"/>
  <c r="AJ43" i="6" s="1"/>
  <c r="AM12" i="3"/>
  <c r="AM13" i="3" s="1"/>
  <c r="AM57" i="3" s="1"/>
  <c r="AM59" i="3" s="1"/>
  <c r="AM61" i="3" s="1"/>
  <c r="AM35" i="3"/>
  <c r="AM45" i="3"/>
  <c r="AM34" i="3"/>
  <c r="AI64" i="3"/>
  <c r="AL47" i="3"/>
  <c r="AL36" i="3"/>
  <c r="AL37" i="3" s="1"/>
  <c r="AF43" i="6"/>
  <c r="I42" i="6"/>
  <c r="I58" i="6"/>
  <c r="S184" i="1"/>
  <c r="S222" i="1"/>
  <c r="S182" i="1"/>
  <c r="S219" i="1"/>
  <c r="S220" i="1"/>
  <c r="S218" i="1"/>
  <c r="S221" i="1"/>
  <c r="S180" i="1"/>
  <c r="S181" i="1"/>
  <c r="S185" i="1"/>
  <c r="S217" i="1"/>
  <c r="S186" i="1"/>
  <c r="AI40" i="6" l="1"/>
  <c r="AL21" i="6"/>
  <c r="AL8" i="6"/>
  <c r="AL63" i="3"/>
  <c r="AN13" i="3"/>
  <c r="AN57" i="3" s="1"/>
  <c r="AN59" i="3" s="1"/>
  <c r="AN61" i="3" s="1"/>
  <c r="AK38" i="6"/>
  <c r="AK40" i="6" s="1"/>
  <c r="AK41" i="6" s="1"/>
  <c r="AK43" i="6" s="1"/>
  <c r="AK11" i="6"/>
  <c r="AS132" i="1"/>
  <c r="AQ17" i="10" s="1"/>
  <c r="C17" i="10" s="1"/>
  <c r="AP17" i="10"/>
  <c r="AI65" i="3"/>
  <c r="AN12" i="3"/>
  <c r="AN35" i="3"/>
  <c r="AS130" i="1"/>
  <c r="AQ15" i="10" s="1"/>
  <c r="AP15" i="10"/>
  <c r="AL48" i="3"/>
  <c r="AN45" i="3"/>
  <c r="AN46" i="3" s="1"/>
  <c r="AN34" i="3"/>
  <c r="AO11" i="3"/>
  <c r="AR13" i="31"/>
  <c r="AQ14" i="31"/>
  <c r="AQ15" i="31" s="1"/>
  <c r="AP9" i="3"/>
  <c r="AS11" i="31"/>
  <c r="AR12" i="31"/>
  <c r="AM36" i="3"/>
  <c r="AM37" i="3" s="1"/>
  <c r="AM47" i="3"/>
  <c r="AM48" i="3" s="1"/>
  <c r="AL57" i="3"/>
  <c r="AM46" i="3"/>
  <c r="AO33" i="3"/>
  <c r="AO10" i="3"/>
  <c r="AO18" i="10"/>
  <c r="AI16" i="19"/>
  <c r="AF44" i="6"/>
  <c r="AG44" i="6" s="1"/>
  <c r="AH44" i="6" s="1"/>
  <c r="J58" i="6"/>
  <c r="J42" i="6"/>
  <c r="T220" i="1"/>
  <c r="T222" i="1"/>
  <c r="T186" i="1"/>
  <c r="T217" i="1"/>
  <c r="T218" i="1"/>
  <c r="T219" i="1"/>
  <c r="T182" i="1"/>
  <c r="T184" i="1"/>
  <c r="T185" i="1"/>
  <c r="T181" i="1"/>
  <c r="T180" i="1"/>
  <c r="T221" i="1"/>
  <c r="AQ18" i="10" l="1"/>
  <c r="AQ9" i="19" s="1"/>
  <c r="AM63" i="3"/>
  <c r="AM21" i="6"/>
  <c r="AM25" i="6" s="1"/>
  <c r="AM8" i="6"/>
  <c r="AL59" i="3"/>
  <c r="AS12" i="31"/>
  <c r="AQ9" i="3"/>
  <c r="E11" i="31"/>
  <c r="E12" i="31" s="1"/>
  <c r="AO12" i="3"/>
  <c r="AO35" i="3"/>
  <c r="AL25" i="6"/>
  <c r="AL38" i="6"/>
  <c r="AL40" i="6" s="1"/>
  <c r="AL41" i="6" s="1"/>
  <c r="AL43" i="6" s="1"/>
  <c r="AL11" i="6"/>
  <c r="AO13" i="3"/>
  <c r="AM49" i="3"/>
  <c r="AM16" i="19" s="1"/>
  <c r="AP10" i="3"/>
  <c r="AP33" i="3"/>
  <c r="AL49" i="3"/>
  <c r="AN47" i="3"/>
  <c r="AN48" i="3" s="1"/>
  <c r="AN36" i="3"/>
  <c r="AN37" i="3" s="1"/>
  <c r="AP11" i="3"/>
  <c r="AS13" i="31"/>
  <c r="AR14" i="31"/>
  <c r="AR15" i="31" s="1"/>
  <c r="AO9" i="19"/>
  <c r="AO45" i="3"/>
  <c r="AO34" i="3"/>
  <c r="AN49" i="3"/>
  <c r="AN16" i="19" s="1"/>
  <c r="AP18" i="10"/>
  <c r="AP9" i="19" s="1"/>
  <c r="C15" i="10"/>
  <c r="AI41" i="6"/>
  <c r="K58" i="6"/>
  <c r="K42" i="6"/>
  <c r="U222" i="1"/>
  <c r="U181" i="1"/>
  <c r="U182" i="1"/>
  <c r="U218" i="1"/>
  <c r="U186" i="1"/>
  <c r="U217" i="1"/>
  <c r="U221" i="1"/>
  <c r="U180" i="1"/>
  <c r="U185" i="1"/>
  <c r="U184" i="1"/>
  <c r="U219" i="1"/>
  <c r="U220" i="1"/>
  <c r="C9" i="19" l="1"/>
  <c r="AN21" i="6"/>
  <c r="AN8" i="6"/>
  <c r="AN63" i="3"/>
  <c r="AN64" i="3" s="1"/>
  <c r="AN65" i="3" s="1"/>
  <c r="AI43" i="6"/>
  <c r="AO46" i="3"/>
  <c r="AM38" i="6"/>
  <c r="AM11" i="6"/>
  <c r="C18" i="10"/>
  <c r="AP12" i="3"/>
  <c r="AP35" i="3"/>
  <c r="AP45" i="3"/>
  <c r="AP46" i="3" s="1"/>
  <c r="AP34" i="3"/>
  <c r="AO57" i="3"/>
  <c r="AO36" i="3"/>
  <c r="AO37" i="3" s="1"/>
  <c r="AO47" i="3"/>
  <c r="AQ33" i="3"/>
  <c r="AQ10" i="3"/>
  <c r="C9" i="3"/>
  <c r="AP13" i="3"/>
  <c r="AP57" i="3" s="1"/>
  <c r="AP59" i="3" s="1"/>
  <c r="AP61" i="3" s="1"/>
  <c r="AI44" i="6"/>
  <c r="AJ44" i="6" s="1"/>
  <c r="AK44" i="6" s="1"/>
  <c r="AL44" i="6" s="1"/>
  <c r="AM64" i="3"/>
  <c r="AM65" i="3" s="1"/>
  <c r="AS14" i="31"/>
  <c r="AS15" i="31" s="1"/>
  <c r="AQ11" i="3"/>
  <c r="E13" i="31"/>
  <c r="E14" i="31" s="1"/>
  <c r="E15" i="31" s="1"/>
  <c r="AL61" i="3"/>
  <c r="L58" i="6"/>
  <c r="L42" i="6"/>
  <c r="V220" i="1"/>
  <c r="V218" i="1"/>
  <c r="V219" i="1"/>
  <c r="V185" i="1"/>
  <c r="V221" i="1"/>
  <c r="V186" i="1"/>
  <c r="V182" i="1"/>
  <c r="V181" i="1"/>
  <c r="V222" i="1"/>
  <c r="V184" i="1"/>
  <c r="V180" i="1"/>
  <c r="V217" i="1"/>
  <c r="AO21" i="6" l="1"/>
  <c r="AO25" i="6" s="1"/>
  <c r="AO8" i="6"/>
  <c r="AO63" i="3"/>
  <c r="AQ12" i="3"/>
  <c r="C12" i="3" s="1"/>
  <c r="AQ35" i="3"/>
  <c r="C11" i="3"/>
  <c r="AO48" i="3"/>
  <c r="AO49" i="3" s="1"/>
  <c r="AQ13" i="3"/>
  <c r="AQ57" i="3" s="1"/>
  <c r="AQ59" i="3" s="1"/>
  <c r="AQ61" i="3" s="1"/>
  <c r="C10" i="3"/>
  <c r="AL64" i="3"/>
  <c r="AQ45" i="3"/>
  <c r="AQ34" i="3"/>
  <c r="C33" i="3"/>
  <c r="AP36" i="3"/>
  <c r="AP37" i="3" s="1"/>
  <c r="AP47" i="3"/>
  <c r="AP48" i="3" s="1"/>
  <c r="AP49" i="3" s="1"/>
  <c r="AP16" i="19" s="1"/>
  <c r="AN11" i="6"/>
  <c r="AN38" i="6"/>
  <c r="AN40" i="6" s="1"/>
  <c r="AN41" i="6" s="1"/>
  <c r="AN43" i="6" s="1"/>
  <c r="AL16" i="19"/>
  <c r="AO59" i="3"/>
  <c r="AM40" i="6"/>
  <c r="AN25" i="6"/>
  <c r="M58" i="6"/>
  <c r="M42" i="6"/>
  <c r="W186" i="1"/>
  <c r="W221" i="1"/>
  <c r="W219" i="1"/>
  <c r="W220" i="1"/>
  <c r="W180" i="1"/>
  <c r="W182" i="1"/>
  <c r="W185" i="1"/>
  <c r="W218" i="1"/>
  <c r="W217" i="1"/>
  <c r="W184" i="1"/>
  <c r="W222" i="1"/>
  <c r="W181" i="1"/>
  <c r="C13" i="3" l="1"/>
  <c r="C57" i="3"/>
  <c r="AP63" i="3"/>
  <c r="AP64" i="3" s="1"/>
  <c r="AP65" i="3" s="1"/>
  <c r="AP21" i="6"/>
  <c r="AP8" i="6"/>
  <c r="C34" i="3"/>
  <c r="AO61" i="3"/>
  <c r="C61" i="3" s="1"/>
  <c r="C59" i="3"/>
  <c r="AM41" i="6"/>
  <c r="AQ46" i="3"/>
  <c r="C45" i="3"/>
  <c r="AQ36" i="3"/>
  <c r="C36" i="3" s="1"/>
  <c r="AQ47" i="3"/>
  <c r="C35" i="3"/>
  <c r="AO11" i="6"/>
  <c r="AO38" i="6"/>
  <c r="AL65" i="3"/>
  <c r="N58" i="6"/>
  <c r="N42" i="6"/>
  <c r="X181" i="1"/>
  <c r="X184" i="1"/>
  <c r="X185" i="1"/>
  <c r="X180" i="1"/>
  <c r="X220" i="1"/>
  <c r="X221" i="1"/>
  <c r="X222" i="1"/>
  <c r="X217" i="1"/>
  <c r="X218" i="1"/>
  <c r="X182" i="1"/>
  <c r="X219" i="1"/>
  <c r="X186" i="1"/>
  <c r="AO64" i="3" l="1"/>
  <c r="AO65" i="3" s="1"/>
  <c r="AQ48" i="3"/>
  <c r="C48" i="3" s="1"/>
  <c r="C47" i="3"/>
  <c r="AP11" i="6"/>
  <c r="AP38" i="6"/>
  <c r="AP40" i="6" s="1"/>
  <c r="AP41" i="6" s="1"/>
  <c r="AP43" i="6" s="1"/>
  <c r="AQ49" i="3"/>
  <c r="C46" i="3"/>
  <c r="AO16" i="19"/>
  <c r="AO40" i="6"/>
  <c r="AQ37" i="3"/>
  <c r="AP25" i="6"/>
  <c r="AM43" i="6"/>
  <c r="AM44" i="6" s="1"/>
  <c r="AN44" i="6" s="1"/>
  <c r="O58" i="6"/>
  <c r="O42" i="6"/>
  <c r="Y219" i="1"/>
  <c r="Y182" i="1"/>
  <c r="Y217" i="1"/>
  <c r="Y221" i="1"/>
  <c r="Y220" i="1"/>
  <c r="Y184" i="1"/>
  <c r="Y186" i="1"/>
  <c r="Y218" i="1"/>
  <c r="Y222" i="1"/>
  <c r="Y180" i="1"/>
  <c r="Y185" i="1"/>
  <c r="Y181" i="1"/>
  <c r="AO41" i="6" l="1"/>
  <c r="AQ21" i="6"/>
  <c r="AQ63" i="3"/>
  <c r="AQ8" i="6"/>
  <c r="C37" i="3"/>
  <c r="C8" i="7" s="1"/>
  <c r="C49" i="3"/>
  <c r="P42" i="6"/>
  <c r="P58" i="6"/>
  <c r="Z217" i="1"/>
  <c r="Z219" i="1"/>
  <c r="Z181" i="1"/>
  <c r="Z218" i="1"/>
  <c r="Z221" i="1"/>
  <c r="Z180" i="1"/>
  <c r="Z222" i="1"/>
  <c r="Z184" i="1"/>
  <c r="Z220" i="1"/>
  <c r="Z182" i="1"/>
  <c r="Z185" i="1"/>
  <c r="Z186" i="1"/>
  <c r="AQ16" i="19" l="1"/>
  <c r="C8" i="19"/>
  <c r="AQ64" i="3"/>
  <c r="C63" i="3"/>
  <c r="AQ25" i="6"/>
  <c r="C21" i="6"/>
  <c r="AQ38" i="6"/>
  <c r="AQ11" i="6"/>
  <c r="C8" i="6"/>
  <c r="C13" i="6" s="1"/>
  <c r="AO43" i="6"/>
  <c r="Q58" i="6"/>
  <c r="Q42" i="6"/>
  <c r="AA182" i="1"/>
  <c r="AA180" i="1"/>
  <c r="AA221" i="1"/>
  <c r="AA219" i="1"/>
  <c r="AA185" i="1"/>
  <c r="AA220" i="1"/>
  <c r="AA222" i="1"/>
  <c r="AA218" i="1"/>
  <c r="AA181" i="1"/>
  <c r="AA217" i="1"/>
  <c r="AA186" i="1"/>
  <c r="AA184" i="1"/>
  <c r="N5" i="33" l="1"/>
  <c r="D5" i="33"/>
  <c r="I5" i="33"/>
  <c r="C11" i="6"/>
  <c r="C14" i="6"/>
  <c r="D13" i="35" s="1"/>
  <c r="AQ40" i="6"/>
  <c r="C38" i="6"/>
  <c r="AQ65" i="3"/>
  <c r="C64" i="3"/>
  <c r="AO44" i="6"/>
  <c r="AP44" i="6" s="1"/>
  <c r="N7" i="33"/>
  <c r="I6" i="33"/>
  <c r="N4" i="33"/>
  <c r="N3" i="33"/>
  <c r="I7" i="33"/>
  <c r="D6" i="33"/>
  <c r="I4" i="33"/>
  <c r="D7" i="33"/>
  <c r="I3" i="33"/>
  <c r="D4" i="33"/>
  <c r="N6" i="33"/>
  <c r="D3" i="33"/>
  <c r="D14" i="35"/>
  <c r="C18" i="19"/>
  <c r="C19" i="19"/>
  <c r="D15" i="35" s="1"/>
  <c r="R58" i="6"/>
  <c r="R42" i="6"/>
  <c r="AB184" i="1"/>
  <c r="AB218" i="1"/>
  <c r="AB185" i="1"/>
  <c r="AB180" i="1"/>
  <c r="AB222" i="1"/>
  <c r="AB186" i="1"/>
  <c r="AB181" i="1"/>
  <c r="AB220" i="1"/>
  <c r="AB217" i="1"/>
  <c r="AB219" i="1"/>
  <c r="AB221" i="1"/>
  <c r="AB182" i="1"/>
  <c r="I5" i="34" l="1"/>
  <c r="N5" i="34"/>
  <c r="D5" i="34"/>
  <c r="I13" i="33"/>
  <c r="H13" i="33"/>
  <c r="J13" i="33"/>
  <c r="C13" i="33"/>
  <c r="E13" i="33"/>
  <c r="D13" i="33"/>
  <c r="O13" i="33"/>
  <c r="M13" i="33"/>
  <c r="N13" i="33"/>
  <c r="N14" i="33"/>
  <c r="M14" i="33"/>
  <c r="O14" i="33"/>
  <c r="J12" i="33"/>
  <c r="H12" i="33"/>
  <c r="I12" i="33"/>
  <c r="O12" i="33"/>
  <c r="N12" i="33"/>
  <c r="M12" i="33"/>
  <c r="AQ41" i="6"/>
  <c r="C40" i="6"/>
  <c r="D11" i="33"/>
  <c r="E11" i="33"/>
  <c r="C11" i="33"/>
  <c r="C15" i="33"/>
  <c r="E15" i="33"/>
  <c r="D15" i="33"/>
  <c r="N11" i="33"/>
  <c r="O11" i="33"/>
  <c r="M11" i="33"/>
  <c r="N4" i="34"/>
  <c r="N8" i="34"/>
  <c r="I7" i="34"/>
  <c r="I3" i="34"/>
  <c r="I6" i="34"/>
  <c r="N3" i="34"/>
  <c r="D3" i="34"/>
  <c r="D4" i="34"/>
  <c r="D6" i="34"/>
  <c r="I8" i="34"/>
  <c r="D8" i="34"/>
  <c r="D7" i="34"/>
  <c r="I4" i="34"/>
  <c r="N7" i="34"/>
  <c r="N6" i="34"/>
  <c r="D16" i="35"/>
  <c r="E12" i="33"/>
  <c r="D12" i="33"/>
  <c r="C12" i="33"/>
  <c r="E14" i="33"/>
  <c r="D14" i="33"/>
  <c r="C14" i="33"/>
  <c r="H14" i="33"/>
  <c r="I14" i="33"/>
  <c r="J14" i="33"/>
  <c r="H11" i="33"/>
  <c r="J11" i="33"/>
  <c r="I11" i="33"/>
  <c r="H15" i="33"/>
  <c r="J15" i="33"/>
  <c r="I15" i="33"/>
  <c r="O15" i="33"/>
  <c r="N15" i="33"/>
  <c r="M15" i="33"/>
  <c r="C65" i="3"/>
  <c r="D8" i="7"/>
  <c r="D9" i="7" s="1"/>
  <c r="D10" i="7" s="1"/>
  <c r="D11" i="7" s="1"/>
  <c r="S42" i="6"/>
  <c r="S58" i="6"/>
  <c r="AC222" i="1"/>
  <c r="AC180" i="1"/>
  <c r="AC185" i="1"/>
  <c r="AC184" i="1"/>
  <c r="AC221" i="1"/>
  <c r="AC217" i="1"/>
  <c r="AC181" i="1"/>
  <c r="AC218" i="1"/>
  <c r="AC182" i="1"/>
  <c r="AC219" i="1"/>
  <c r="AC220" i="1"/>
  <c r="AC186" i="1"/>
  <c r="C14" i="34" l="1"/>
  <c r="D14" i="34"/>
  <c r="E14" i="34"/>
  <c r="M14" i="34"/>
  <c r="N14" i="34"/>
  <c r="O14" i="34"/>
  <c r="J14" i="34"/>
  <c r="I14" i="34"/>
  <c r="H14" i="34"/>
  <c r="C17" i="34"/>
  <c r="E17" i="34"/>
  <c r="D17" i="34"/>
  <c r="I16" i="34"/>
  <c r="H16" i="34"/>
  <c r="J16" i="34"/>
  <c r="N16" i="34"/>
  <c r="O16" i="34"/>
  <c r="M16" i="34"/>
  <c r="H17" i="34"/>
  <c r="I17" i="34"/>
  <c r="J17" i="34"/>
  <c r="N12" i="34"/>
  <c r="O12" i="34"/>
  <c r="M12" i="34"/>
  <c r="O17" i="34"/>
  <c r="M17" i="34"/>
  <c r="N17" i="34"/>
  <c r="N15" i="34"/>
  <c r="M15" i="34"/>
  <c r="O15" i="34"/>
  <c r="C12" i="34"/>
  <c r="E12" i="34"/>
  <c r="D12" i="34"/>
  <c r="J13" i="34"/>
  <c r="H13" i="34"/>
  <c r="I13" i="34"/>
  <c r="D15" i="34"/>
  <c r="E15" i="34"/>
  <c r="C15" i="34"/>
  <c r="H15" i="34"/>
  <c r="I15" i="34"/>
  <c r="J15" i="34"/>
  <c r="M13" i="34"/>
  <c r="O13" i="34"/>
  <c r="N13" i="34"/>
  <c r="AQ43" i="6"/>
  <c r="C43" i="6" s="1"/>
  <c r="C41" i="6"/>
  <c r="H28" i="7"/>
  <c r="H29" i="7" s="1"/>
  <c r="H20" i="6" s="1"/>
  <c r="H25" i="6" s="1"/>
  <c r="C18" i="7"/>
  <c r="C20" i="7" s="1"/>
  <c r="G28" i="7"/>
  <c r="G29" i="7" s="1"/>
  <c r="G20" i="6" s="1"/>
  <c r="G25" i="6" s="1"/>
  <c r="F28" i="7"/>
  <c r="F29" i="7" s="1"/>
  <c r="F20" i="6" s="1"/>
  <c r="F25" i="6" s="1"/>
  <c r="D28" i="7"/>
  <c r="E28" i="7"/>
  <c r="E29" i="7" s="1"/>
  <c r="E20" i="6" s="1"/>
  <c r="E25" i="6" s="1"/>
  <c r="D16" i="34"/>
  <c r="C16" i="34"/>
  <c r="E16" i="34"/>
  <c r="C13" i="34"/>
  <c r="E13" i="34"/>
  <c r="D13" i="34"/>
  <c r="J12" i="34"/>
  <c r="I12" i="34"/>
  <c r="H12" i="34"/>
  <c r="AQ44" i="6"/>
  <c r="T58" i="6"/>
  <c r="T42" i="6"/>
  <c r="AD186" i="1"/>
  <c r="AD219" i="1"/>
  <c r="AD185" i="1"/>
  <c r="AD220" i="1"/>
  <c r="AD182" i="1"/>
  <c r="AD217" i="1"/>
  <c r="AD184" i="1"/>
  <c r="AD180" i="1"/>
  <c r="AD218" i="1"/>
  <c r="AD181" i="1"/>
  <c r="AD221" i="1"/>
  <c r="AD222" i="1"/>
  <c r="D29" i="7" l="1"/>
  <c r="C28" i="7"/>
  <c r="U58" i="6"/>
  <c r="U42" i="6"/>
  <c r="AE222" i="1"/>
  <c r="AE181" i="1"/>
  <c r="AE184" i="1"/>
  <c r="AE182" i="1"/>
  <c r="AE220" i="1"/>
  <c r="AE185" i="1"/>
  <c r="AE219" i="1"/>
  <c r="AE221" i="1"/>
  <c r="AE218" i="1"/>
  <c r="AE180" i="1"/>
  <c r="AE217" i="1"/>
  <c r="AE186" i="1"/>
  <c r="C29" i="7" l="1"/>
  <c r="D20" i="6"/>
  <c r="V42" i="6"/>
  <c r="V58" i="6"/>
  <c r="AF186" i="1"/>
  <c r="AF217" i="1"/>
  <c r="AF218" i="1"/>
  <c r="AF219" i="1"/>
  <c r="AF185" i="1"/>
  <c r="AF220" i="1"/>
  <c r="AF184" i="1"/>
  <c r="AF181" i="1"/>
  <c r="AF180" i="1"/>
  <c r="AF221" i="1"/>
  <c r="AF182" i="1"/>
  <c r="AF222" i="1"/>
  <c r="D25" i="6" l="1"/>
  <c r="C20" i="6"/>
  <c r="C27" i="6" s="1"/>
  <c r="W42" i="6"/>
  <c r="W58" i="6"/>
  <c r="AG182" i="1"/>
  <c r="AH182" i="1" s="1"/>
  <c r="AI182" i="1" s="1"/>
  <c r="AJ182" i="1" s="1"/>
  <c r="AK182" i="1" s="1"/>
  <c r="AL182" i="1" s="1"/>
  <c r="AM182" i="1" s="1"/>
  <c r="AN182" i="1" s="1"/>
  <c r="AO182" i="1" s="1"/>
  <c r="AP182" i="1" s="1"/>
  <c r="AQ182" i="1" s="1"/>
  <c r="AG184" i="1"/>
  <c r="AH184" i="1" s="1"/>
  <c r="AI184" i="1" s="1"/>
  <c r="AJ184" i="1" s="1"/>
  <c r="AK184" i="1" s="1"/>
  <c r="AL184" i="1" s="1"/>
  <c r="AM184" i="1" s="1"/>
  <c r="AN184" i="1" s="1"/>
  <c r="AO184" i="1" s="1"/>
  <c r="AP184" i="1" s="1"/>
  <c r="AQ184" i="1" s="1"/>
  <c r="AG219" i="1"/>
  <c r="AH219" i="1" s="1"/>
  <c r="AI219" i="1" s="1"/>
  <c r="AJ219" i="1" s="1"/>
  <c r="AK219" i="1" s="1"/>
  <c r="AL219" i="1" s="1"/>
  <c r="AM219" i="1" s="1"/>
  <c r="AN219" i="1" s="1"/>
  <c r="AO219" i="1" s="1"/>
  <c r="AP219" i="1" s="1"/>
  <c r="AQ219" i="1" s="1"/>
  <c r="AG217" i="1"/>
  <c r="AH217" i="1" s="1"/>
  <c r="AI217" i="1" s="1"/>
  <c r="AJ217" i="1" s="1"/>
  <c r="AK217" i="1" s="1"/>
  <c r="AL217" i="1" s="1"/>
  <c r="AM217" i="1" s="1"/>
  <c r="AN217" i="1" s="1"/>
  <c r="AO217" i="1" s="1"/>
  <c r="AP217" i="1" s="1"/>
  <c r="AQ217" i="1" s="1"/>
  <c r="AG186" i="1"/>
  <c r="AH186" i="1" s="1"/>
  <c r="AI186" i="1" s="1"/>
  <c r="AJ186" i="1" s="1"/>
  <c r="AK186" i="1" s="1"/>
  <c r="AL186" i="1" s="1"/>
  <c r="AM186" i="1" s="1"/>
  <c r="AN186" i="1" s="1"/>
  <c r="AO186" i="1" s="1"/>
  <c r="AP186" i="1" s="1"/>
  <c r="AQ186" i="1" s="1"/>
  <c r="AG221" i="1"/>
  <c r="AH221" i="1" s="1"/>
  <c r="AI221" i="1" s="1"/>
  <c r="AJ221" i="1" s="1"/>
  <c r="AK221" i="1" s="1"/>
  <c r="AL221" i="1" s="1"/>
  <c r="AM221" i="1" s="1"/>
  <c r="AN221" i="1" s="1"/>
  <c r="AO221" i="1" s="1"/>
  <c r="AP221" i="1" s="1"/>
  <c r="AQ221" i="1" s="1"/>
  <c r="AQ183" i="1"/>
  <c r="AG222" i="1"/>
  <c r="AH222" i="1" s="1"/>
  <c r="AI222" i="1" s="1"/>
  <c r="AJ222" i="1" s="1"/>
  <c r="AK222" i="1" s="1"/>
  <c r="AL222" i="1" s="1"/>
  <c r="AM222" i="1" s="1"/>
  <c r="AN222" i="1" s="1"/>
  <c r="AO222" i="1" s="1"/>
  <c r="AP222" i="1" s="1"/>
  <c r="AQ222" i="1" s="1"/>
  <c r="AG181" i="1"/>
  <c r="AH181" i="1" s="1"/>
  <c r="AI181" i="1" s="1"/>
  <c r="AJ181" i="1" s="1"/>
  <c r="AK181" i="1" s="1"/>
  <c r="AL181" i="1" s="1"/>
  <c r="AM181" i="1" s="1"/>
  <c r="AN181" i="1" s="1"/>
  <c r="AO181" i="1" s="1"/>
  <c r="AP181" i="1" s="1"/>
  <c r="AQ181" i="1" s="1"/>
  <c r="AG185" i="1"/>
  <c r="AH185" i="1" s="1"/>
  <c r="AI185" i="1" s="1"/>
  <c r="AJ185" i="1" s="1"/>
  <c r="AK185" i="1" s="1"/>
  <c r="AL185" i="1" s="1"/>
  <c r="AM185" i="1" s="1"/>
  <c r="AN185" i="1" s="1"/>
  <c r="AO185" i="1" s="1"/>
  <c r="AP185" i="1" s="1"/>
  <c r="AQ185" i="1" s="1"/>
  <c r="AG218" i="1"/>
  <c r="AH218" i="1" s="1"/>
  <c r="AI218" i="1" s="1"/>
  <c r="AJ218" i="1" s="1"/>
  <c r="AK218" i="1" s="1"/>
  <c r="AL218" i="1" s="1"/>
  <c r="AM218" i="1" s="1"/>
  <c r="AN218" i="1" s="1"/>
  <c r="AO218" i="1" s="1"/>
  <c r="AP218" i="1" s="1"/>
  <c r="AQ218" i="1" s="1"/>
  <c r="AG180" i="1"/>
  <c r="AH180" i="1" s="1"/>
  <c r="AI180" i="1" s="1"/>
  <c r="AJ180" i="1" s="1"/>
  <c r="AK180" i="1" s="1"/>
  <c r="AL180" i="1" s="1"/>
  <c r="AM180" i="1" s="1"/>
  <c r="AN180" i="1" s="1"/>
  <c r="AO180" i="1" s="1"/>
  <c r="AP180" i="1" s="1"/>
  <c r="AQ180" i="1" s="1"/>
  <c r="AG220" i="1"/>
  <c r="AH220" i="1" s="1"/>
  <c r="AI220" i="1" s="1"/>
  <c r="AJ220" i="1" s="1"/>
  <c r="AK220" i="1" s="1"/>
  <c r="AL220" i="1" s="1"/>
  <c r="AM220" i="1" s="1"/>
  <c r="AN220" i="1" s="1"/>
  <c r="AO220" i="1" s="1"/>
  <c r="AP220" i="1" s="1"/>
  <c r="AQ220" i="1" s="1"/>
  <c r="C28" i="6" l="1"/>
  <c r="C25" i="6"/>
  <c r="X42" i="6"/>
  <c r="X58" i="6"/>
  <c r="Y42" i="6" l="1"/>
  <c r="Y58" i="6"/>
  <c r="C14" i="19"/>
  <c r="Z42" i="6" l="1"/>
  <c r="Z58" i="6"/>
  <c r="C12" i="19"/>
  <c r="C20" i="19" s="1"/>
  <c r="C16" i="19" l="1"/>
  <c r="AA58" i="6"/>
  <c r="AA42" i="6"/>
  <c r="AB58" i="6" l="1"/>
  <c r="AB42" i="6"/>
  <c r="AC58" i="6" l="1"/>
  <c r="AC42" i="6"/>
  <c r="AD58" i="6" l="1"/>
  <c r="AD42" i="6"/>
  <c r="AE58" i="6" l="1"/>
  <c r="AE42" i="6"/>
  <c r="AF58" i="6" l="1"/>
  <c r="AG58" i="6" s="1"/>
  <c r="AH58" i="6" s="1"/>
  <c r="AI58" i="6" s="1"/>
  <c r="AJ58" i="6" s="1"/>
  <c r="AK58" i="6" s="1"/>
  <c r="AL58" i="6" s="1"/>
  <c r="AM58" i="6" s="1"/>
  <c r="AN58" i="6" s="1"/>
  <c r="AO58" i="6" s="1"/>
  <c r="AP58" i="6" s="1"/>
  <c r="AQ58" i="6" s="1"/>
  <c r="AF42" i="6"/>
  <c r="AG42" i="6" s="1"/>
  <c r="AH42" i="6" s="1"/>
  <c r="AI42" i="6" s="1"/>
  <c r="AJ42" i="6" s="1"/>
  <c r="AK42" i="6" s="1"/>
  <c r="AL42" i="6" s="1"/>
  <c r="AM42" i="6" s="1"/>
  <c r="AN42" i="6" s="1"/>
  <c r="AO42" i="6" s="1"/>
  <c r="AP42" i="6" s="1"/>
  <c r="AQ42" i="6" s="1"/>
</calcChain>
</file>

<file path=xl/comments1.xml><?xml version="1.0" encoding="utf-8"?>
<comments xmlns="http://schemas.openxmlformats.org/spreadsheetml/2006/main">
  <authors>
    <author>Author</author>
  </authors>
  <commentList>
    <comment ref="G731" authorId="0" shapeId="0">
      <text>
        <r>
          <rPr>
            <b/>
            <sz val="9"/>
            <color indexed="81"/>
            <rFont val="Tahoma"/>
            <family val="2"/>
            <charset val="238"/>
          </rPr>
          <t>Author:</t>
        </r>
        <r>
          <rPr>
            <sz val="9"/>
            <color indexed="81"/>
            <rFont val="Tahoma"/>
            <family val="2"/>
            <charset val="238"/>
          </rPr>
          <t xml:space="preserve">
</t>
        </r>
        <r>
          <rPr>
            <b/>
            <i/>
            <u/>
            <sz val="11"/>
            <color indexed="81"/>
            <rFont val="Tahoma"/>
            <family val="2"/>
            <charset val="238"/>
          </rPr>
          <t>Ručne prestavované výmeny</t>
        </r>
        <r>
          <rPr>
            <sz val="9"/>
            <color indexed="81"/>
            <rFont val="Tahoma"/>
            <family val="2"/>
            <charset val="238"/>
          </rPr>
          <t xml:space="preserve">
</t>
        </r>
        <r>
          <rPr>
            <b/>
            <sz val="9"/>
            <color indexed="81"/>
            <rFont val="Tahoma"/>
            <family val="2"/>
            <charset val="238"/>
          </rPr>
          <t>úsek Prešov - Strážske</t>
        </r>
        <r>
          <rPr>
            <sz val="9"/>
            <color indexed="81"/>
            <rFont val="Tahoma"/>
            <family val="2"/>
            <charset val="238"/>
          </rPr>
          <t xml:space="preserve">
Strážske: 0 výhybiek nemodernizovaných
Nižný Hrabovec: 4 výhybky nemodernizované
Vranov nad Topľou: 12 výhybiek nemodernizovaných
Čierne nad Topľou: 5 výhybiek nemodernizovaných
Hanušovce nad Topľou: 6 výhybiek nemodernizovaných
Lipníky: 3 výhybky nemodernizované
Kapušany pri Prešove: 4 výhybky nemodernizované
Šarišské Lúky: 8 výhybiek nemodernizovaných
Prešov: 0 výhybiek nemodernizovaných
</t>
        </r>
        <r>
          <rPr>
            <b/>
            <sz val="9"/>
            <color indexed="81"/>
            <rFont val="Tahoma"/>
            <family val="2"/>
            <charset val="238"/>
          </rPr>
          <t xml:space="preserve">
úsek Kapušany pri Prešove - Raslavice</t>
        </r>
        <r>
          <rPr>
            <sz val="9"/>
            <color indexed="81"/>
            <rFont val="Tahoma"/>
            <family val="2"/>
            <charset val="238"/>
          </rPr>
          <t xml:space="preserve">
Raslavice: 6 výhybiek nemodernizovaných</t>
        </r>
      </text>
    </comment>
    <comment ref="H733" authorId="0" shapeId="0">
      <text>
        <r>
          <rPr>
            <b/>
            <sz val="9"/>
            <color indexed="81"/>
            <rFont val="Tahoma"/>
            <family val="2"/>
            <charset val="238"/>
          </rPr>
          <t>Author:</t>
        </r>
        <r>
          <rPr>
            <sz val="9"/>
            <color indexed="81"/>
            <rFont val="Tahoma"/>
            <family val="2"/>
            <charset val="238"/>
          </rPr>
          <t xml:space="preserve">
</t>
        </r>
        <r>
          <rPr>
            <b/>
            <i/>
            <u/>
            <sz val="11"/>
            <color indexed="81"/>
            <rFont val="Tahoma"/>
            <family val="2"/>
            <charset val="238"/>
          </rPr>
          <t xml:space="preserve">Elektronické stavadlo a reléové (vrátane DOZZ)
</t>
        </r>
        <r>
          <rPr>
            <sz val="9"/>
            <color indexed="81"/>
            <rFont val="Tahoma"/>
            <family val="2"/>
            <charset val="238"/>
          </rPr>
          <t xml:space="preserve">
</t>
        </r>
        <r>
          <rPr>
            <b/>
            <sz val="9"/>
            <color indexed="81"/>
            <rFont val="Tahoma"/>
            <family val="2"/>
            <charset val="238"/>
          </rPr>
          <t xml:space="preserve">úsek Prešov - Strážske
</t>
        </r>
        <r>
          <rPr>
            <sz val="9"/>
            <color indexed="81"/>
            <rFont val="Tahoma"/>
            <family val="2"/>
            <charset val="238"/>
          </rPr>
          <t>Strážske: 0 výhybiek čiastočne modenizovananých (10%)
Nižný Hrabovec: 2 výhybky čiastočne modenizované (10%)
Vranov nad Topľou: 11 výhybiek čiastočne modenizovaných (10%)
Čierne nad Topľou: 5 výhybiek čiastočne modenizovaných (10%)
Hanušovce nad Topľou: 2 výhybky čiastočne modenizované (10%)
Lipníky: 2 výhybky čiastočne modenizované (10%)
Kapušany pri Prešove: 12 výhybiek čiastočne modenizovaných (10%)
Šarišské Lúky: 4 výhybky čiastočne modenizované (10%)
Prešov: 0 výhybiek čiastočne modenizovananých (10%)</t>
        </r>
        <r>
          <rPr>
            <b/>
            <sz val="9"/>
            <color indexed="81"/>
            <rFont val="Tahoma"/>
            <family val="2"/>
            <charset val="238"/>
          </rPr>
          <t xml:space="preserve">
úsek Kapušany pri Prešove - Raslavice
</t>
        </r>
        <r>
          <rPr>
            <sz val="9"/>
            <color indexed="81"/>
            <rFont val="Tahoma"/>
            <family val="2"/>
            <charset val="238"/>
          </rPr>
          <t>Raslavice: 0 výhybiek čiastočne modenizovananých (10%)</t>
        </r>
      </text>
    </comment>
    <comment ref="I733" authorId="0" shapeId="0">
      <text>
        <r>
          <rPr>
            <b/>
            <sz val="9"/>
            <color indexed="81"/>
            <rFont val="Tahoma"/>
            <family val="2"/>
            <charset val="238"/>
          </rPr>
          <t>Author:</t>
        </r>
        <r>
          <rPr>
            <sz val="9"/>
            <color indexed="81"/>
            <rFont val="Tahoma"/>
            <family val="2"/>
            <charset val="238"/>
          </rPr>
          <t xml:space="preserve">
</t>
        </r>
        <r>
          <rPr>
            <b/>
            <i/>
            <u/>
            <sz val="11"/>
            <color indexed="81"/>
            <rFont val="Tahoma"/>
            <family val="2"/>
            <charset val="238"/>
          </rPr>
          <t>Elektronické stavadlo a reléové (vrátane DOZZ)</t>
        </r>
        <r>
          <rPr>
            <sz val="9"/>
            <color indexed="81"/>
            <rFont val="Tahoma"/>
            <family val="2"/>
            <charset val="238"/>
          </rPr>
          <t xml:space="preserve">
</t>
        </r>
        <r>
          <rPr>
            <b/>
            <sz val="9"/>
            <color indexed="81"/>
            <rFont val="Tahoma"/>
            <family val="2"/>
            <charset val="238"/>
          </rPr>
          <t xml:space="preserve">úsek Prešov - Strážske
</t>
        </r>
        <r>
          <rPr>
            <sz val="9"/>
            <color indexed="81"/>
            <rFont val="Tahoma"/>
            <family val="2"/>
            <charset val="238"/>
          </rPr>
          <t>Strážske: 0 výhybiek modernizovaných</t>
        </r>
        <r>
          <rPr>
            <b/>
            <sz val="9"/>
            <color indexed="81"/>
            <rFont val="Tahoma"/>
            <family val="2"/>
            <charset val="238"/>
          </rPr>
          <t xml:space="preserve">
</t>
        </r>
        <r>
          <rPr>
            <sz val="9"/>
            <color indexed="81"/>
            <rFont val="Tahoma"/>
            <family val="2"/>
            <charset val="238"/>
          </rPr>
          <t xml:space="preserve">Nižný Hrabovec: 4 výhybky modernizované
Vranov nad Topľou: 0 výhybiek modernizovaných
Čierne nad Topľou: 0 výhybiek modernizovaných
Hanušovce nad Topľou: 0 výhybiek modernizovaných
Lipníky: 0 výhybiek modernizované
Kapušany pri Prešove: 0 výhybiek modernizovaných
Šarišské Lúky: 0 výhybiek modernizovaných
Prešov: 0 výhybiek modernizovaných
</t>
        </r>
        <r>
          <rPr>
            <b/>
            <sz val="9"/>
            <color indexed="81"/>
            <rFont val="Tahoma"/>
            <family val="2"/>
            <charset val="238"/>
          </rPr>
          <t xml:space="preserve">úsek Kapušany pri Prešove - Raslavice
</t>
        </r>
        <r>
          <rPr>
            <sz val="9"/>
            <color indexed="81"/>
            <rFont val="Tahoma"/>
            <family val="2"/>
            <charset val="238"/>
          </rPr>
          <t>Raslavice: 0 výhybiek modernizovaných</t>
        </r>
      </text>
    </comment>
    <comment ref="D883" authorId="0" shapeId="0">
      <text>
        <r>
          <rPr>
            <b/>
            <sz val="9"/>
            <color indexed="81"/>
            <rFont val="Tahoma"/>
            <family val="2"/>
            <charset val="238"/>
          </rPr>
          <t>Author:
úsek Kapušany pri Prešove - Raslavice</t>
        </r>
        <r>
          <rPr>
            <sz val="9"/>
            <color indexed="81"/>
            <rFont val="Tahoma"/>
            <family val="2"/>
            <charset val="238"/>
          </rPr>
          <t xml:space="preserve">
nemodernizované PZZ v žkm 21,853 svetelné bez závor
nemodernizované PZZ v žkm 19,148 svetelné bez závor
nemodernizované PZZ v žkm 16,969 svetelné bez závor</t>
        </r>
      </text>
    </comment>
    <comment ref="E883" authorId="0" shapeId="0">
      <text>
        <r>
          <rPr>
            <b/>
            <sz val="9"/>
            <color indexed="81"/>
            <rFont val="Tahoma"/>
            <family val="2"/>
            <charset val="238"/>
          </rPr>
          <t>Author:</t>
        </r>
        <r>
          <rPr>
            <sz val="9"/>
            <color indexed="81"/>
            <rFont val="Tahoma"/>
            <family val="2"/>
            <charset val="238"/>
          </rPr>
          <t xml:space="preserve">
</t>
        </r>
        <r>
          <rPr>
            <b/>
            <sz val="9"/>
            <color indexed="81"/>
            <rFont val="Tahoma"/>
            <family val="2"/>
            <charset val="238"/>
          </rPr>
          <t>úsek Prešov - Strážske</t>
        </r>
        <r>
          <rPr>
            <sz val="9"/>
            <color indexed="81"/>
            <rFont val="Tahoma"/>
            <family val="2"/>
            <charset val="238"/>
          </rPr>
          <t xml:space="preserve">
modernizované PZZ v žkm 30,566 na:  svetelné bez závor</t>
        </r>
      </text>
    </comment>
    <comment ref="F883" authorId="0" shapeId="0">
      <text>
        <r>
          <rPr>
            <b/>
            <sz val="9"/>
            <color indexed="81"/>
            <rFont val="Tahoma"/>
            <family val="2"/>
            <charset val="238"/>
          </rPr>
          <t>Author:
úsek Kapušany pri Prešove - Raslavice</t>
        </r>
        <r>
          <rPr>
            <sz val="9"/>
            <color indexed="81"/>
            <rFont val="Tahoma"/>
            <family val="2"/>
            <charset val="238"/>
          </rPr>
          <t xml:space="preserve">
nemodernizované PZZ v žkm 21,853 svetelné bez závor
nemodernizované PZZ v žkm 19,148 svetelné bez závor
nemodernizované PZZ v žkm 16,969 svetelné bez závor</t>
        </r>
      </text>
    </comment>
    <comment ref="G883" authorId="0" shapeId="0">
      <text>
        <r>
          <rPr>
            <b/>
            <sz val="9"/>
            <color indexed="81"/>
            <rFont val="Tahoma"/>
            <family val="2"/>
            <charset val="238"/>
          </rPr>
          <t>Author:</t>
        </r>
        <r>
          <rPr>
            <sz val="9"/>
            <color indexed="81"/>
            <rFont val="Tahoma"/>
            <family val="2"/>
            <charset val="238"/>
          </rPr>
          <t xml:space="preserve">
</t>
        </r>
        <r>
          <rPr>
            <b/>
            <sz val="9"/>
            <color indexed="81"/>
            <rFont val="Tahoma"/>
            <family val="2"/>
            <charset val="238"/>
          </rPr>
          <t>úsek Prešov - Strážske</t>
        </r>
        <r>
          <rPr>
            <sz val="9"/>
            <color indexed="81"/>
            <rFont val="Tahoma"/>
            <family val="2"/>
            <charset val="238"/>
          </rPr>
          <t xml:space="preserve">
modernizované PZZ v žkm 30,566 na:  svetelné bez závor</t>
        </r>
      </text>
    </comment>
    <comment ref="D884" authorId="0" shapeId="0">
      <text>
        <r>
          <rPr>
            <b/>
            <sz val="9"/>
            <color indexed="81"/>
            <rFont val="Tahoma"/>
            <family val="2"/>
            <charset val="238"/>
          </rPr>
          <t xml:space="preserve">Author:
úsek Prešov - Strážske
</t>
        </r>
        <r>
          <rPr>
            <sz val="9"/>
            <color indexed="81"/>
            <rFont val="Tahoma"/>
            <family val="2"/>
            <charset val="238"/>
          </rPr>
          <t>nemodernizované PZZ v žkm 60,026 svetelné so závorami</t>
        </r>
        <r>
          <rPr>
            <b/>
            <sz val="9"/>
            <color indexed="81"/>
            <rFont val="Tahoma"/>
            <family val="2"/>
            <charset val="238"/>
          </rPr>
          <t xml:space="preserve">
</t>
        </r>
        <r>
          <rPr>
            <sz val="9"/>
            <color indexed="81"/>
            <rFont val="Tahoma"/>
            <family val="2"/>
          </rPr>
          <t>nemodernizované PZZ v žkm 50,252 na nový stav:  svetelné so závorami
nemodernizované PZZ v žkm 53,997  svetelné so závorami</t>
        </r>
        <r>
          <rPr>
            <b/>
            <sz val="9"/>
            <color indexed="81"/>
            <rFont val="Tahoma"/>
            <family val="2"/>
            <charset val="238"/>
          </rPr>
          <t xml:space="preserve">
</t>
        </r>
        <r>
          <rPr>
            <sz val="9"/>
            <color indexed="81"/>
            <rFont val="Tahoma"/>
            <family val="2"/>
          </rPr>
          <t xml:space="preserve">nemodernizované PZZ v žkm 12,858 
nemodernizované PZZ v žkm 14,245 </t>
        </r>
        <r>
          <rPr>
            <b/>
            <sz val="9"/>
            <color indexed="81"/>
            <rFont val="Tahoma"/>
            <family val="2"/>
            <charset val="238"/>
          </rPr>
          <t xml:space="preserve">
</t>
        </r>
        <r>
          <rPr>
            <sz val="9"/>
            <color indexed="81"/>
            <rFont val="Tahoma"/>
            <family val="2"/>
            <charset val="238"/>
          </rPr>
          <t xml:space="preserve">
</t>
        </r>
        <r>
          <rPr>
            <b/>
            <sz val="9"/>
            <color indexed="81"/>
            <rFont val="Tahoma"/>
            <family val="2"/>
            <charset val="238"/>
          </rPr>
          <t>úsek Kapušany pri Prešove - Raslavice</t>
        </r>
        <r>
          <rPr>
            <sz val="9"/>
            <color indexed="81"/>
            <rFont val="Tahoma"/>
            <family val="2"/>
            <charset val="238"/>
          </rPr>
          <t xml:space="preserve">
nemodernizované PZZ v žkm 13,830 svetelné so závorami
</t>
        </r>
      </text>
    </comment>
    <comment ref="E884" authorId="0" shapeId="0">
      <text>
        <r>
          <rPr>
            <b/>
            <sz val="9"/>
            <color indexed="81"/>
            <rFont val="Tahoma"/>
            <family val="2"/>
            <charset val="238"/>
          </rPr>
          <t>Author:
úsek Prešov - Strážske</t>
        </r>
        <r>
          <rPr>
            <sz val="9"/>
            <color indexed="81"/>
            <rFont val="Tahoma"/>
            <family val="2"/>
            <charset val="238"/>
          </rPr>
          <t xml:space="preserve">
</t>
        </r>
      </text>
    </comment>
    <comment ref="F884" authorId="0" shapeId="0">
      <text>
        <r>
          <rPr>
            <b/>
            <sz val="9"/>
            <color indexed="81"/>
            <rFont val="Tahoma"/>
            <family val="2"/>
            <charset val="238"/>
          </rPr>
          <t xml:space="preserve">Author:
úsek Prešov - Strážske
</t>
        </r>
        <r>
          <rPr>
            <sz val="9"/>
            <color indexed="81"/>
            <rFont val="Tahoma"/>
            <family val="2"/>
            <charset val="238"/>
          </rPr>
          <t>nemodernizované PZZ v žkm 60,026 svetelné so závorami</t>
        </r>
        <r>
          <rPr>
            <b/>
            <sz val="9"/>
            <color indexed="81"/>
            <rFont val="Tahoma"/>
            <family val="2"/>
            <charset val="238"/>
          </rPr>
          <t xml:space="preserve">
</t>
        </r>
        <r>
          <rPr>
            <sz val="9"/>
            <color indexed="81"/>
            <rFont val="Tahoma"/>
            <family val="2"/>
            <charset val="238"/>
          </rPr>
          <t xml:space="preserve">
</t>
        </r>
        <r>
          <rPr>
            <b/>
            <sz val="9"/>
            <color indexed="81"/>
            <rFont val="Tahoma"/>
            <family val="2"/>
            <charset val="238"/>
          </rPr>
          <t>úsek Kapušany pri Prešove - Raslavice</t>
        </r>
        <r>
          <rPr>
            <sz val="9"/>
            <color indexed="81"/>
            <rFont val="Tahoma"/>
            <family val="2"/>
            <charset val="238"/>
          </rPr>
          <t xml:space="preserve">
nemodernizované PZZ v žkm 13,830 svetelné so závorami
</t>
        </r>
      </text>
    </comment>
    <comment ref="G884" authorId="0" shapeId="0">
      <text>
        <r>
          <rPr>
            <b/>
            <sz val="9"/>
            <color indexed="81"/>
            <rFont val="Tahoma"/>
            <family val="2"/>
            <charset val="238"/>
          </rPr>
          <t>Author:
úsek Prešov - Strážske</t>
        </r>
        <r>
          <rPr>
            <sz val="9"/>
            <color indexed="81"/>
            <rFont val="Tahoma"/>
            <family val="2"/>
            <charset val="238"/>
          </rPr>
          <t xml:space="preserve">
rekonštruované PZZ v žkm 12,858 svetelné so závorami
modernizované PZZ v žkm 14,245 na nový stav:  svetelné so závorami
modernizované PZZ v žkm 50,252 na nový stav:  svetelné so závorami
rekonštruované PZZ v žkm 53,997  svetelné so závorami</t>
        </r>
      </text>
    </comment>
  </commentList>
</comments>
</file>

<file path=xl/comments2.xml><?xml version="1.0" encoding="utf-8"?>
<comments xmlns="http://schemas.openxmlformats.org/spreadsheetml/2006/main">
  <authors>
    <author>Peter Smolka</author>
  </authors>
  <commentList>
    <comment ref="B4" authorId="0" shapeId="0">
      <text>
        <r>
          <rPr>
            <b/>
            <sz val="9"/>
            <color rgb="FF000000"/>
            <rFont val="Tahoma"/>
            <family val="2"/>
            <charset val="238"/>
          </rPr>
          <t>Autor:</t>
        </r>
        <r>
          <rPr>
            <sz val="9"/>
            <color rgb="FF000000"/>
            <rFont val="Tahoma"/>
            <family val="2"/>
            <charset val="238"/>
          </rPr>
          <t xml:space="preserve">
</t>
        </r>
        <r>
          <rPr>
            <sz val="9"/>
            <color rgb="FF000000"/>
            <rFont val="Tahoma"/>
            <family val="2"/>
            <charset val="238"/>
          </rPr>
          <t>pravidlo polovice</t>
        </r>
      </text>
    </comment>
    <comment ref="B7" authorId="0" shapeId="0">
      <text>
        <r>
          <rPr>
            <b/>
            <sz val="9"/>
            <color indexed="81"/>
            <rFont val="Tahoma"/>
            <family val="2"/>
            <charset val="238"/>
          </rPr>
          <t>Autor:</t>
        </r>
        <r>
          <rPr>
            <sz val="9"/>
            <color indexed="81"/>
            <rFont val="Tahoma"/>
            <family val="2"/>
            <charset val="238"/>
          </rPr>
          <t xml:space="preserve">
pravidlo polovice</t>
        </r>
      </text>
    </comment>
  </commentList>
</comments>
</file>

<file path=xl/comments3.xml><?xml version="1.0" encoding="utf-8"?>
<comments xmlns="http://schemas.openxmlformats.org/spreadsheetml/2006/main">
  <authors>
    <author>Author</author>
  </authors>
  <commentList>
    <comment ref="B4" authorId="0" shapeId="0">
      <text>
        <r>
          <rPr>
            <b/>
            <sz val="9"/>
            <color indexed="81"/>
            <rFont val="Tahoma"/>
            <family val="2"/>
          </rPr>
          <t>Autor:</t>
        </r>
        <r>
          <rPr>
            <sz val="9"/>
            <color indexed="81"/>
            <rFont val="Tahoma"/>
            <family val="2"/>
          </rPr>
          <t xml:space="preserve">
údaje pre výpočty boli získané simuláciou Monte Carlo pre 10 000 iteráciii.</t>
        </r>
      </text>
    </comment>
    <comment ref="Q4" authorId="0" shapeId="0">
      <text>
        <r>
          <rPr>
            <b/>
            <sz val="9"/>
            <color indexed="81"/>
            <rFont val="Tahoma"/>
            <family val="2"/>
          </rPr>
          <t>Autor:</t>
        </r>
        <r>
          <rPr>
            <sz val="9"/>
            <color indexed="81"/>
            <rFont val="Tahoma"/>
            <family val="2"/>
          </rPr>
          <t xml:space="preserve">
údaje pre výpočty boli získané simuláciou Monte Carlo pre 10 000 iteráciii.</t>
        </r>
      </text>
    </comment>
  </commentList>
</comments>
</file>

<file path=xl/sharedStrings.xml><?xml version="1.0" encoding="utf-8"?>
<sst xmlns="http://schemas.openxmlformats.org/spreadsheetml/2006/main" count="2377" uniqueCount="1035">
  <si>
    <t>EUR</t>
  </si>
  <si>
    <t>Pozn.:</t>
  </si>
  <si>
    <t xml:space="preserve">Diskontná sadzba (finančná) </t>
  </si>
  <si>
    <t>Diskontná sadzba (ekonomická)</t>
  </si>
  <si>
    <t>Cenová úroveň</t>
  </si>
  <si>
    <t>Mena</t>
  </si>
  <si>
    <t>Fiškálne konverzné faktory</t>
  </si>
  <si>
    <t>stále ceny</t>
  </si>
  <si>
    <t>Celkom</t>
  </si>
  <si>
    <t>Rok</t>
  </si>
  <si>
    <t>Celkové príjmy</t>
  </si>
  <si>
    <t>Prevádzkové náklady</t>
  </si>
  <si>
    <t>Príjmy</t>
  </si>
  <si>
    <t>Investičné náklady</t>
  </si>
  <si>
    <t>5.1 Výpočet finančnej medzery</t>
  </si>
  <si>
    <t>Zostatková hodnota</t>
  </si>
  <si>
    <t>Pomer spolufinancovania</t>
  </si>
  <si>
    <t>5.2 Príspevok Spoločenstva (EÚ)</t>
  </si>
  <si>
    <t>Príspevok Spoločenstva (EÚ)</t>
  </si>
  <si>
    <t>Finančná čistá súčasná hodnota investície (FRR_C)</t>
  </si>
  <si>
    <t>Finančné vnútorné výnosové percento investície  (FIRR_C)</t>
  </si>
  <si>
    <t>Finančná čistá súčasná hodnota kapitálu (FNPV_K)</t>
  </si>
  <si>
    <t>Finančné vnútorné výnosové percento kapitálu (FIRR_K)</t>
  </si>
  <si>
    <t>6.1 Finančná čistá súčasná hodnota investície  (FRR_C)</t>
  </si>
  <si>
    <t>6.2 Finančná čistá súčasná hodnota kapitálu  (FNPV_K)</t>
  </si>
  <si>
    <t>Celkové výdavky</t>
  </si>
  <si>
    <t>Kumulovaný čistý peňažný tok</t>
  </si>
  <si>
    <t>Jazdný čas BEZ PROJEKTU</t>
  </si>
  <si>
    <t>Jazdný čas S PROJEKTOM</t>
  </si>
  <si>
    <t>Tunely</t>
  </si>
  <si>
    <t>Životnosť v rokoch</t>
  </si>
  <si>
    <t>Nediskontované</t>
  </si>
  <si>
    <t>Diskontované</t>
  </si>
  <si>
    <t>Pozemky</t>
  </si>
  <si>
    <t>Životnosť (vrátane výmeny)</t>
  </si>
  <si>
    <t>Nevyhnutnosť výmeny</t>
  </si>
  <si>
    <t>nekonečná</t>
  </si>
  <si>
    <t>Zostávajúca životnosť v %*</t>
  </si>
  <si>
    <t>Budovy</t>
  </si>
  <si>
    <t>Infraštrukturálny prvok</t>
  </si>
  <si>
    <t xml:space="preserve">Zostatková hodnota na základe finančných peňažných tokoch </t>
  </si>
  <si>
    <t>BEZ PROJEKTU</t>
  </si>
  <si>
    <t>Výmeny</t>
  </si>
  <si>
    <t>S PROJEKTOM</t>
  </si>
  <si>
    <t>Celkom (diskontované)</t>
  </si>
  <si>
    <t>Ostatné</t>
  </si>
  <si>
    <t>Rast HDP (%)</t>
  </si>
  <si>
    <t>Dozor</t>
  </si>
  <si>
    <t>Príprava staveniska</t>
  </si>
  <si>
    <t>1.2 Investičné náklady (EUR) - ekonomické</t>
  </si>
  <si>
    <t>Peňažné toky</t>
  </si>
  <si>
    <t>Čisté peňažné toky</t>
  </si>
  <si>
    <t>Ekonomická čistá súčasná hodnota investície (ENPV)</t>
  </si>
  <si>
    <t>Ekonomická vnútorná miera návratnosti (EIRR)</t>
  </si>
  <si>
    <t>Inkrementálne (PRÍRASTKOVÉ)</t>
  </si>
  <si>
    <t>Zostatková hodnota na základe socio-ekonomických peňažných tokoch</t>
  </si>
  <si>
    <t>Plánovacie/projektové poplatky</t>
  </si>
  <si>
    <t>Rezerva na nepredvídané výdavky</t>
  </si>
  <si>
    <t>Celkové investičné náklady</t>
  </si>
  <si>
    <t>Všeobecné parametre</t>
  </si>
  <si>
    <t>Celkové peňažné toky</t>
  </si>
  <si>
    <t>.......</t>
  </si>
  <si>
    <t>Stavebné práce</t>
  </si>
  <si>
    <t>Vyvolané investície</t>
  </si>
  <si>
    <t>Iné služby (Technická pomoc, Publicita, Externé riadenie)</t>
  </si>
  <si>
    <t>DPH</t>
  </si>
  <si>
    <t>*DPH sa neaplikuje pri niektorých položkách (pozemky)</t>
  </si>
  <si>
    <t>3.1 Prevádzkové výdavky</t>
  </si>
  <si>
    <t>Celkové prevádzkové výdavky</t>
  </si>
  <si>
    <t>Celkové iné špecifické prevádzkové výdavky</t>
  </si>
  <si>
    <t>Iné príjmy</t>
  </si>
  <si>
    <t>3.2 Prevádzkové výdavky</t>
  </si>
  <si>
    <t>3.3  Prevádzkové výdavky</t>
  </si>
  <si>
    <t>Prevádzkové výdavky</t>
  </si>
  <si>
    <t>Investičné výdavky</t>
  </si>
  <si>
    <t>Smrteľné zranenie</t>
  </si>
  <si>
    <t>Ťažké zranenie</t>
  </si>
  <si>
    <t>Ľahké zranenie</t>
  </si>
  <si>
    <t>Obdobie prevádzky v rámci referenčného obdobia</t>
  </si>
  <si>
    <t>Rok začiatku výstavby</t>
  </si>
  <si>
    <t>Rok ukončenia výstavby</t>
  </si>
  <si>
    <t>Personálne výdavky</t>
  </si>
  <si>
    <t>Materiál a ostané zdroje</t>
  </si>
  <si>
    <t>Auto</t>
  </si>
  <si>
    <t>Rozdelenie cestovania podľa účelu cesty</t>
  </si>
  <si>
    <t>Dochádzanie 
do práce</t>
  </si>
  <si>
    <t>Iné (súkromné)</t>
  </si>
  <si>
    <t>Mestská hromadná doprava</t>
  </si>
  <si>
    <t>Inflácia</t>
  </si>
  <si>
    <t>CPI - ročná % zmena</t>
  </si>
  <si>
    <t>Index pre úpravu cenovej úrovne</t>
  </si>
  <si>
    <t>Príručka CBA, Tabuľka 25</t>
  </si>
  <si>
    <t>Príručka CBA, Tabuľka 23</t>
  </si>
  <si>
    <t>Autobusy</t>
  </si>
  <si>
    <t>Príručka CBA, Tabuľka 26</t>
  </si>
  <si>
    <t>Typ pozemnej komunikácie</t>
  </si>
  <si>
    <t>* v prípade, že niektoré infraštrukturálne prvky budú musieť byť vymenené, zostatková hodnota by mala byť vypočítaná z posledných vynaložených investičných výdavkov.</t>
  </si>
  <si>
    <t>2.1 Zostatková hodnota na základe životnosti infraštruktrálnych prvkov (alebo tzv. účtovné odpisy)</t>
  </si>
  <si>
    <t>finančná</t>
  </si>
  <si>
    <t>ekonomická</t>
  </si>
  <si>
    <t>pozn.: výpočet môže vyžadovať pomocný hárok resp. sa výpočet môže uviesť nižšie v tomto hárku</t>
  </si>
  <si>
    <t xml:space="preserve"> - Základné číslovanie hárkov je potrebné dodržať, avšak pre výpočet hodnôt je možné prídávať pomocné hárky (napr. pre výpočet ocenenia času sa pridá hárok 07-A Ocenenie času a pod.)</t>
  </si>
  <si>
    <t>Očakávaný rast HDP (%)</t>
  </si>
  <si>
    <t>nový tunel</t>
  </si>
  <si>
    <t>existujúca cesta s potrebou rekonštrukcie (asfaltový povrch)</t>
  </si>
  <si>
    <t>existujúca cesta s potrebou rekonštrukcie (betónový povrch)</t>
  </si>
  <si>
    <t>existujúci most (stavebný stav 5 a horšie)</t>
  </si>
  <si>
    <t>pôvodná cesta s potrebou rekonštrukcie odľahčená (asfaltový povrch)</t>
  </si>
  <si>
    <t>pôvodná cesta s potrebou rekonštrukcie odľahčená (betónový povrch)</t>
  </si>
  <si>
    <t>existujúci most (stavebný stav 5 a horšie) odľahčený</t>
  </si>
  <si>
    <t>nová cesta alebo existujúca cesta v dobrom stave (asfaltový povrch)</t>
  </si>
  <si>
    <t>nová cesta alebo existujúca cesta v dobrom stave (betónový povrch)</t>
  </si>
  <si>
    <t>nový most alebo existujúci most v dobrom stave</t>
  </si>
  <si>
    <t>Stavebný objekt</t>
  </si>
  <si>
    <t>EUR/m²/rok</t>
  </si>
  <si>
    <t>! JC sa aplikujú pre každý rok prevádzky projektu v rámci referenčného obdobia</t>
  </si>
  <si>
    <t>Kategória vozidla</t>
  </si>
  <si>
    <t>Pohonné hmoty - Nafta</t>
  </si>
  <si>
    <t>Príručka CBA, časť 5.2.1</t>
  </si>
  <si>
    <t>Pohonné hmoty - Benzín</t>
  </si>
  <si>
    <t>Agregovaný fiškálny konverzný faktor</t>
  </si>
  <si>
    <t>! Pri použití konverzných faktorov je potrebné rozdeliť investičné a prevádzkové výdavky podľa výrobných faktorov</t>
  </si>
  <si>
    <t>(personálne výdavky XY%, pohonné hmoty - nafta XY%, pohonné hmoty - benzín XY%, materiál a ostatné zdroje XY%, SPOLU 100%)</t>
  </si>
  <si>
    <t>! Agregovaný konverzný faktor je možné aplikovať priamo na stanovené investičné a prevádzkové výdavky</t>
  </si>
  <si>
    <t>Priemerná obsadenosť cestných vozidiel v osobnej doprave</t>
  </si>
  <si>
    <t>Autobus (nie MHD)</t>
  </si>
  <si>
    <t>Osobné autá (vrátane motocyklov)</t>
  </si>
  <si>
    <t>Vlaky</t>
  </si>
  <si>
    <t>Dochádzanie do práce</t>
  </si>
  <si>
    <t>Súkromné cesty</t>
  </si>
  <si>
    <t>Hodnota času tovaru</t>
  </si>
  <si>
    <t>Tovar s nízkou hodnotou (menej ako 6 000 EUR/tona)</t>
  </si>
  <si>
    <t>Bežný tovar (hodnota viac ako 6 000 EUR/tona)</t>
  </si>
  <si>
    <t>EUR/tona/hod</t>
  </si>
  <si>
    <t>Hodnota času cestovania v EUR</t>
  </si>
  <si>
    <t xml:space="preserve">Tovar s nízkou hodnotou </t>
  </si>
  <si>
    <t xml:space="preserve">Bežný tovar </t>
  </si>
  <si>
    <t>Podiel komodity na preprave</t>
  </si>
  <si>
    <t>Typ komodity</t>
  </si>
  <si>
    <t>Priemerné množstvo tovaru na jedno SNV/ŤNV (v tonách)</t>
  </si>
  <si>
    <t>Hodnota času tovaru na jedno SNV/ŤNV (v EUR)</t>
  </si>
  <si>
    <t>Rýchlosti</t>
  </si>
  <si>
    <t>Osobné vozidlá (benzín)</t>
  </si>
  <si>
    <t>Osobné vozidlá (nafta)</t>
  </si>
  <si>
    <t>Ľahké nákladné vozidlá</t>
  </si>
  <si>
    <t>Stredne ťažké nákladné vozidlá</t>
  </si>
  <si>
    <t>Ťažké nákladné vozidlá</t>
  </si>
  <si>
    <t>Benzín</t>
  </si>
  <si>
    <t>Nafta</t>
  </si>
  <si>
    <t>Skladba osobných áut podľa PHM</t>
  </si>
  <si>
    <t>!Neupravuje sa o rast HDP</t>
  </si>
  <si>
    <t>Priemerná spotreba pohonných hmôt v závislosti od kategórie vozidla a rýchlosti v litroch/km</t>
  </si>
  <si>
    <t>Dodatočná spotreba pohonných hmôt v závislosti od kategórie vozidla a rýchlostného obmedzenia v litroch</t>
  </si>
  <si>
    <t>Rýchlostné obmedzenie</t>
  </si>
  <si>
    <t>Príručka CBA, tabuľka 27</t>
  </si>
  <si>
    <t>JC pohonných hmôt pre použitie v ekonomickej analýze</t>
  </si>
  <si>
    <t>v EUR</t>
  </si>
  <si>
    <t>!JC sa neeskalujú a neupravujú o rast HDP</t>
  </si>
  <si>
    <t>Príručka CBA, časť 5.2.2.4</t>
  </si>
  <si>
    <t>EUR/km</t>
  </si>
  <si>
    <t>EUR/hod.</t>
  </si>
  <si>
    <t>Priemerné náklady na prevádzku cestných vozidiel</t>
  </si>
  <si>
    <t>! Do 3,5t</t>
  </si>
  <si>
    <t>! Nad 3,5t do 12t</t>
  </si>
  <si>
    <t>! Nad 12t</t>
  </si>
  <si>
    <t>Relatívna miera bezpečnosti navrhovanej pozemnej komunikácie podľa typu a podľa kategórie zranenia na 100 miliónov vozidlových km</t>
  </si>
  <si>
    <t>1+1, obchvaty miest a obcí v extraviláne
(2-pruh, prevažujú mimoúrovňové a okružné križovatky, max. 90 km/h)</t>
  </si>
  <si>
    <t>1+2 resp. 2+1, cesty v extraviláne
(3-pruh alebo prídavný pruh pre pomalé vozidlá, max. 90 km/h)</t>
  </si>
  <si>
    <t>2+2, cesty v extraviláne smerovo nerozdelené
(4-pruh, úrovňové stykové križovatky, max 100 km/h)</t>
  </si>
  <si>
    <t>2+2, cesty v extraviláne smerovo rozdelené
(4-pruh, mimoúrovňové križovatky, max 100 km/h)</t>
  </si>
  <si>
    <t>1+1 rýchlostné cesty/diaľnice v polovičnom profile
(2-pruh, 80-100 km/h)</t>
  </si>
  <si>
    <t>2+2 rýchlostné cesty v plnom profile
(4-pruh, max. 130 km/h)</t>
  </si>
  <si>
    <t>2+2 diaľnice v plnom profile
(4-pruh, max. 130 km/h)</t>
  </si>
  <si>
    <t>!Hodnoty už sú upravené o korekčné faktory pre neohlásené dopravné nehody</t>
  </si>
  <si>
    <t>Jednotkové náklady plynúce z dopravných nehôd, podľa kategórie zranenia v EUR</t>
  </si>
  <si>
    <t>Údaje o hustote jednotlivých palív</t>
  </si>
  <si>
    <t>Zemný plyn</t>
  </si>
  <si>
    <t>kg/liter</t>
  </si>
  <si>
    <t>Hodnota</t>
  </si>
  <si>
    <t>Jednotka</t>
  </si>
  <si>
    <t>kg/m3</t>
  </si>
  <si>
    <t>Príručka CBA, časť 5.2.2.6</t>
  </si>
  <si>
    <t>NMVOC</t>
  </si>
  <si>
    <r>
      <t>PM</t>
    </r>
    <r>
      <rPr>
        <vertAlign val="subscript"/>
        <sz val="8"/>
        <rFont val="Arial"/>
        <family val="2"/>
        <charset val="238"/>
      </rPr>
      <t>2,5</t>
    </r>
  </si>
  <si>
    <r>
      <t>NO</t>
    </r>
    <r>
      <rPr>
        <vertAlign val="subscript"/>
        <sz val="8"/>
        <rFont val="Arial"/>
        <family val="2"/>
        <charset val="238"/>
      </rPr>
      <t>X</t>
    </r>
  </si>
  <si>
    <r>
      <t>SO</t>
    </r>
    <r>
      <rPr>
        <vertAlign val="subscript"/>
        <sz val="8"/>
        <rFont val="Arial"/>
        <family val="2"/>
        <charset val="238"/>
      </rPr>
      <t>2</t>
    </r>
  </si>
  <si>
    <r>
      <t>NH</t>
    </r>
    <r>
      <rPr>
        <vertAlign val="subscript"/>
        <sz val="8"/>
        <rFont val="Arial"/>
        <family val="2"/>
        <charset val="238"/>
      </rPr>
      <t>3</t>
    </r>
  </si>
  <si>
    <t>Ľahké nákladné vozidlá (nafta)</t>
  </si>
  <si>
    <t>Stredne ťažké nákladné vozidlá (nafta)</t>
  </si>
  <si>
    <t>Ťažké nákladné vozidlá (nafta)</t>
  </si>
  <si>
    <t>Autobusy (nafta)</t>
  </si>
  <si>
    <t>Príručka CBA, tabuľka 35</t>
  </si>
  <si>
    <t>Náklady znečisťujúcich látok z dopravy (EUR/kg) podľa typu látky a územia</t>
  </si>
  <si>
    <r>
      <t>PM</t>
    </r>
    <r>
      <rPr>
        <vertAlign val="subscript"/>
        <sz val="8"/>
        <rFont val="Arial"/>
        <family val="2"/>
        <charset val="238"/>
      </rPr>
      <t>2,5</t>
    </r>
    <r>
      <rPr>
        <sz val="8"/>
        <rFont val="Arial"/>
        <family val="2"/>
      </rPr>
      <t xml:space="preserve"> - Extravilán, intravilány obcí a miest</t>
    </r>
  </si>
  <si>
    <r>
      <t>PM</t>
    </r>
    <r>
      <rPr>
        <vertAlign val="subscript"/>
        <sz val="8"/>
        <rFont val="Arial"/>
        <family val="2"/>
        <charset val="238"/>
      </rPr>
      <t>2,5</t>
    </r>
    <r>
      <rPr>
        <sz val="8"/>
        <rFont val="Arial"/>
        <family val="2"/>
      </rPr>
      <t xml:space="preserve"> - Centrum miest</t>
    </r>
  </si>
  <si>
    <t>NMVOC - Všetky územia</t>
  </si>
  <si>
    <r>
      <t>NH</t>
    </r>
    <r>
      <rPr>
        <vertAlign val="subscript"/>
        <sz val="8"/>
        <rFont val="Arial"/>
        <family val="2"/>
        <charset val="238"/>
      </rPr>
      <t>3</t>
    </r>
    <r>
      <rPr>
        <sz val="8"/>
        <rFont val="Arial"/>
        <family val="2"/>
      </rPr>
      <t xml:space="preserve"> - Všetky územia</t>
    </r>
  </si>
  <si>
    <r>
      <t>SO</t>
    </r>
    <r>
      <rPr>
        <vertAlign val="subscript"/>
        <sz val="8"/>
        <rFont val="Arial"/>
        <family val="2"/>
        <charset val="238"/>
      </rPr>
      <t>2</t>
    </r>
    <r>
      <rPr>
        <sz val="8"/>
        <rFont val="Arial"/>
        <family val="2"/>
      </rPr>
      <t xml:space="preserve"> - Všetky územia</t>
    </r>
  </si>
  <si>
    <r>
      <t>NO</t>
    </r>
    <r>
      <rPr>
        <vertAlign val="subscript"/>
        <sz val="8"/>
        <rFont val="Arial"/>
        <family val="2"/>
        <charset val="238"/>
      </rPr>
      <t>X</t>
    </r>
    <r>
      <rPr>
        <sz val="8"/>
        <rFont val="Arial"/>
        <family val="2"/>
      </rPr>
      <t xml:space="preserve"> - Centrum miest</t>
    </r>
  </si>
  <si>
    <r>
      <t>NO</t>
    </r>
    <r>
      <rPr>
        <vertAlign val="subscript"/>
        <sz val="8"/>
        <rFont val="Arial"/>
        <family val="2"/>
        <charset val="238"/>
      </rPr>
      <t>X</t>
    </r>
    <r>
      <rPr>
        <sz val="8"/>
        <rFont val="Arial"/>
        <family val="2"/>
      </rPr>
      <t xml:space="preserve"> - Extravilán, intravilány obcí a miest</t>
    </r>
  </si>
  <si>
    <t>Služobné cesty</t>
  </si>
  <si>
    <t>Emisné faktory znečisťujúcich látok pre cestné vozidlá (g/kg)</t>
  </si>
  <si>
    <t>Emisné faktory skleníkových plynov pre cestné vozidlá (g/kg)</t>
  </si>
  <si>
    <r>
      <t>CO</t>
    </r>
    <r>
      <rPr>
        <vertAlign val="subscript"/>
        <sz val="8"/>
        <rFont val="Arial"/>
        <family val="2"/>
        <charset val="238"/>
      </rPr>
      <t>2</t>
    </r>
  </si>
  <si>
    <r>
      <t>CH</t>
    </r>
    <r>
      <rPr>
        <vertAlign val="subscript"/>
        <sz val="8"/>
        <rFont val="Arial"/>
        <family val="2"/>
        <charset val="238"/>
      </rPr>
      <t>4</t>
    </r>
  </si>
  <si>
    <r>
      <t>N</t>
    </r>
    <r>
      <rPr>
        <vertAlign val="subscript"/>
        <sz val="8"/>
        <rFont val="Arial"/>
        <family val="2"/>
        <charset val="238"/>
      </rPr>
      <t>2</t>
    </r>
    <r>
      <rPr>
        <sz val="8"/>
        <rFont val="Arial"/>
        <family val="2"/>
        <charset val="238"/>
      </rPr>
      <t>O</t>
    </r>
  </si>
  <si>
    <t>Príručka CBA, tabuľka 38</t>
  </si>
  <si>
    <r>
      <t>CO</t>
    </r>
    <r>
      <rPr>
        <vertAlign val="subscript"/>
        <sz val="8"/>
        <color rgb="FF000000"/>
        <rFont val="Arial"/>
        <family val="2"/>
        <charset val="238"/>
      </rPr>
      <t>2</t>
    </r>
    <r>
      <rPr>
        <sz val="8"/>
        <color rgb="FF000000"/>
        <rFont val="Arial"/>
        <family val="2"/>
      </rPr>
      <t>e</t>
    </r>
  </si>
  <si>
    <t>Príručka CBA, časť 5.2.2.7</t>
  </si>
  <si>
    <t>Jednotková cena tony CO2e</t>
  </si>
  <si>
    <r>
      <t>CO</t>
    </r>
    <r>
      <rPr>
        <vertAlign val="subscript"/>
        <sz val="8"/>
        <color rgb="FF000000"/>
        <rFont val="Arial"/>
        <family val="2"/>
        <charset val="238"/>
      </rPr>
      <t>2</t>
    </r>
    <r>
      <rPr>
        <sz val="8"/>
        <color rgb="FF000000"/>
        <rFont val="Arial"/>
        <family val="2"/>
      </rPr>
      <t>e (pre rok 2020 = 86 EUR/t)</t>
    </r>
  </si>
  <si>
    <t>Jednotkové náklady hluku (v EUR na vozidlový kilometer) podľa kategórie vozidla a územia</t>
  </si>
  <si>
    <t>Osobné vozidlá - centrum mesta</t>
  </si>
  <si>
    <t>Ľahké nákladné vozidlá - centrum mesta</t>
  </si>
  <si>
    <t>Stredne ťažké nákladné vozidlá - centrum mesta</t>
  </si>
  <si>
    <t>Ťažké nákladné vozidlá- centrum mesta</t>
  </si>
  <si>
    <t>Autobusy- centrum mesta</t>
  </si>
  <si>
    <t>Osobné vozidlá - intravilán mesta</t>
  </si>
  <si>
    <t>Ľahké nákladné vozidlá - intravilán mesta</t>
  </si>
  <si>
    <t>Stredne ťažké nákladné vozidlá - intravilán mesta</t>
  </si>
  <si>
    <t>Ťažké nákladné vozidlá - intravilán mesta</t>
  </si>
  <si>
    <t>Autobusy - intravilán mesta</t>
  </si>
  <si>
    <t>Osobné vozidlá - intravilán obce</t>
  </si>
  <si>
    <t>Ľahké nákladné vozidlá - intravilán obce</t>
  </si>
  <si>
    <t>Stredne ťažké nákladné vozidlá - intravilán obce</t>
  </si>
  <si>
    <t>Ťažké nákladné vozidlá - intravilán obce</t>
  </si>
  <si>
    <t>Autobusy - intravilán obce</t>
  </si>
  <si>
    <t>Nákup pozemkov</t>
  </si>
  <si>
    <t>Nadobudnutie pozemkov potrebných pre realizáciu projektu, ako aj nájmy či vecné bremená;</t>
  </si>
  <si>
    <t>Výdavky súvisiace s inštaláciou, prevádzkou a odstránením zariadenia staveniska, vytyčovanie, dočasné prístupové komunikácie, dočasné dopravné značky a signalizácia, vypratanie staveniska, demolačné práce;</t>
  </si>
  <si>
    <t>Stavebné výdavky - Tunely</t>
  </si>
  <si>
    <t>Výdavky na projektovú dokumentáciu, všetky súvisiace štúdie;</t>
  </si>
  <si>
    <t>Stavebné výdavky - Podporné múry, spevňovanie svahu</t>
  </si>
  <si>
    <t>Stavebné objekty podporných, zárubných múrov, vrátane sanácie a spevňovanie svahu;</t>
  </si>
  <si>
    <t>Stavebné výdavky - Protihlukové opatrenia</t>
  </si>
  <si>
    <t>Stavebné výdavky - Budovy</t>
  </si>
  <si>
    <t>Stavebné výdavky - Ostatné</t>
  </si>
  <si>
    <t>Stavebné výdavky - Vyvolané investície</t>
  </si>
  <si>
    <t>Stavebný dozor, prípadne iný dozor (technický, geologický);</t>
  </si>
  <si>
    <t>Archeologický prieskum, publicita, monitoringy, mesačné správy, fotodokumentácia, video, záručný servis a pod;</t>
  </si>
  <si>
    <t>Iné služby</t>
  </si>
  <si>
    <t>Rezerva na nepredvídateľné výdavky</t>
  </si>
  <si>
    <t>Valorizácia</t>
  </si>
  <si>
    <t>Položka sa stanovuje a uplatňuje v súlade s pravidlami oprávnenosti príslušného programu;</t>
  </si>
  <si>
    <t>Uplatňuje sa iba v prípade cenových úprav stanovených v zmluve o dielo na stavebné práce;</t>
  </si>
  <si>
    <t>→</t>
  </si>
  <si>
    <t>výdavky na výmenu/obnovu</t>
  </si>
  <si>
    <t>! Konverzný faktor pre pozemky je 1,0</t>
  </si>
  <si>
    <r>
      <t xml:space="preserve">Použitý konverzný faktor: </t>
    </r>
    <r>
      <rPr>
        <b/>
        <sz val="8"/>
        <rFont val="Arial"/>
        <family val="2"/>
        <charset val="238"/>
      </rPr>
      <t>agregovaný</t>
    </r>
  </si>
  <si>
    <t>(spracovateľ môže stanoviť odlišné konverzné faktory na základe rôznej miery zastúpenia výrobných faktorov na investícií)</t>
  </si>
  <si>
    <t>Celkové investičné výdavky vrátane DPH</t>
  </si>
  <si>
    <t>Oprávnené investičné výdavky</t>
  </si>
  <si>
    <t>Neoprávnené investičné výdavky</t>
  </si>
  <si>
    <t>Kategória investičných výdavkov*  **</t>
  </si>
  <si>
    <t>**</t>
  </si>
  <si>
    <t>Prevádzkové príjmy</t>
  </si>
  <si>
    <t>Suma v rozhodnutí (NFP)</t>
  </si>
  <si>
    <t>Časový horizont (referenčné obdobie)</t>
  </si>
  <si>
    <t>Začiatočný rok referenčného obdobia</t>
  </si>
  <si>
    <t>Posledný rok referenčného obdobia</t>
  </si>
  <si>
    <t>3.4 Prevádzkové náklady (ekonomické)</t>
  </si>
  <si>
    <t>(diskontované)</t>
  </si>
  <si>
    <t>Vlastné financovanie investície</t>
  </si>
  <si>
    <t>Splátky úverov (vrátane úrokov)</t>
  </si>
  <si>
    <t>6.3 Finančná udržateľnosť (prírastková)</t>
  </si>
  <si>
    <t>z toho: Príspevok z fondov EÚ</t>
  </si>
  <si>
    <t>z toho: Verejné zdroje SR</t>
  </si>
  <si>
    <t>! Bez DPH, bez rezervy, bez cenových úprav (valorizácia)</t>
  </si>
  <si>
    <t>Cenové úpravy (valorizácia)</t>
  </si>
  <si>
    <t>Celkové investičné výdavky vrátane rezervy a valorizácie</t>
  </si>
  <si>
    <t>Celkové investičné výdavky</t>
  </si>
  <si>
    <t>* bez zahrnutia DPH, rezervy a cenových úprav (valorizácia)</t>
  </si>
  <si>
    <t>Oprávnené investičné výdavky bez DPH, rezervy a valorizácie</t>
  </si>
  <si>
    <t>5.3 Štruktúra financovania*</t>
  </si>
  <si>
    <t>z toho: Úver**</t>
  </si>
  <si>
    <t>**predpoklad nevyužitia úverových zdrojov, ak naopak, potrebné doplniť čerpanie úveru po rokoch</t>
  </si>
  <si>
    <t>Celkové finančné zdroje</t>
  </si>
  <si>
    <t>Splátky úverov (vrátane úrokov)*</t>
  </si>
  <si>
    <t>Prevádzková dotácia</t>
  </si>
  <si>
    <t>Upravený kumulovaný čistý peňažný tok</t>
  </si>
  <si>
    <t>Prevádzkové výdavky (iba s projektom)</t>
  </si>
  <si>
    <t>Prevádzkové príjmy (iba s projektom)</t>
  </si>
  <si>
    <t>6.4 Finančná udržateľnosť (absolútna pre projektový scenár)</t>
  </si>
  <si>
    <t>Úspora času, z toho:</t>
  </si>
  <si>
    <t>Úspora času v peňažnom vyjadrení (v EUR)</t>
  </si>
  <si>
    <t>Služobná cesta</t>
  </si>
  <si>
    <t>4.1 Príjmy</t>
  </si>
  <si>
    <t>4.2 Príjmy</t>
  </si>
  <si>
    <t>4.3 Príjmy</t>
  </si>
  <si>
    <t>PRÍRASTKOVÉ</t>
  </si>
  <si>
    <t>Čas cestujúcich</t>
  </si>
  <si>
    <t>Čas tovaru</t>
  </si>
  <si>
    <t>Znečisťujúce látky</t>
  </si>
  <si>
    <t>Skleníkové plyny</t>
  </si>
  <si>
    <t>Hluk</t>
  </si>
  <si>
    <t>Výjazd z intravilánu</t>
  </si>
  <si>
    <t>Okružná križovatka mimo obce</t>
  </si>
  <si>
    <t>Križovatka so zastavením v obci</t>
  </si>
  <si>
    <t>Križovatka so zastavením mimo obce</t>
  </si>
  <si>
    <t>Pripojenie na D/RC</t>
  </si>
  <si>
    <t>Okružná križovatka v obci</t>
  </si>
  <si>
    <t>3-pruh</t>
  </si>
  <si>
    <t>1+1obch</t>
  </si>
  <si>
    <t>1+1D/RC</t>
  </si>
  <si>
    <t>RC</t>
  </si>
  <si>
    <t>D</t>
  </si>
  <si>
    <t>2+2rozd</t>
  </si>
  <si>
    <t>2+2neroz</t>
  </si>
  <si>
    <r>
      <rPr>
        <sz val="8"/>
        <color rgb="FFFF0000"/>
        <rFont val="Calibri"/>
        <family val="2"/>
        <charset val="238"/>
        <scheme val="minor"/>
      </rPr>
      <t>→</t>
    </r>
    <r>
      <rPr>
        <sz val="8"/>
        <color rgb="FFFF0000"/>
        <rFont val="Arial"/>
        <family val="2"/>
        <charset val="238"/>
      </rPr>
      <t xml:space="preserve"> podľa čl. 18 Delegovaného nariadenia 480/2014 sa Zostatková hodnota investície zahrnie do výpočtu diskontovaných čistých príjmov operácie iba vtedy, ak príjmy prevyšujú výdavky</t>
    </r>
  </si>
  <si>
    <t>Čistý príjem (DNR)</t>
  </si>
  <si>
    <t>Investičné výdavky (DIC)</t>
  </si>
  <si>
    <t>Investičné výdavky - Čistý príjem (Max EE)</t>
  </si>
  <si>
    <t>Finančná medzera (FG)</t>
  </si>
  <si>
    <t>*doplniť splátky úveru (istina+úroky) ak relevantné</t>
  </si>
  <si>
    <t>pre účely Žiadosti o poskytnutie NFP</t>
  </si>
  <si>
    <r>
      <rPr>
        <sz val="8"/>
        <color rgb="FFFF0000"/>
        <rFont val="Calibri"/>
        <family val="2"/>
        <charset val="238"/>
        <scheme val="minor"/>
      </rPr>
      <t>→</t>
    </r>
    <r>
      <rPr>
        <sz val="8"/>
        <color rgb="FFFF0000"/>
        <rFont val="Arial"/>
        <family val="2"/>
        <charset val="238"/>
      </rPr>
      <t xml:space="preserve"> v prípadoch úspory inkrementálnej úspory prevádzkových výdavkov (záporná hodnota) je možné bunku vynulovať za predpokladu, že úspora je kompenzovaná znížením prevádzkovej dotácie</t>
    </r>
  </si>
  <si>
    <t>Trať</t>
  </si>
  <si>
    <t>Zaťaženie jednej traťovej koľaje</t>
  </si>
  <si>
    <t>do 10 mil. hrubých ton/rok</t>
  </si>
  <si>
    <t>nad 10 mil. hrubých ton/rok</t>
  </si>
  <si>
    <t>1-koľaj nemodernizovaná</t>
  </si>
  <si>
    <t>2-koľaj nemodernizovaná</t>
  </si>
  <si>
    <t>1-koľaj modernizovaná</t>
  </si>
  <si>
    <t>2-koľaj modernizovaná</t>
  </si>
  <si>
    <t>Priemerné ročné prevádzkové výdavky na 1km traťovej koľaje</t>
  </si>
  <si>
    <t>Koľaj</t>
  </si>
  <si>
    <t>Zaťaženie jednej staničnej koľaje</t>
  </si>
  <si>
    <t>nemodernizovaná</t>
  </si>
  <si>
    <t>modernizovaná</t>
  </si>
  <si>
    <t>Zaťaženie jednej koľaje</t>
  </si>
  <si>
    <t xml:space="preserve">Priemerné ročné prevádzkové výdavky na 1km vedľajšej koľaje v stanici </t>
  </si>
  <si>
    <t>Priemerné ročné prevádzkové výdavky na výhybky (1ks)</t>
  </si>
  <si>
    <t>Typ mosta</t>
  </si>
  <si>
    <t>Oceľový</t>
  </si>
  <si>
    <t xml:space="preserve">Masívny </t>
  </si>
  <si>
    <t xml:space="preserve">Priemerné ročné prevádzkové výdavky na 1km železničných mostov </t>
  </si>
  <si>
    <t>Priemerné ročné prevádzkové výdavky na 1 km železničných tunelov</t>
  </si>
  <si>
    <t>Kategória ZABZAR</t>
  </si>
  <si>
    <t>1. telefonické dorozumievanie</t>
  </si>
  <si>
    <t>2. poloautomatický blok</t>
  </si>
  <si>
    <t>3. automatické hradlo*</t>
  </si>
  <si>
    <t>1-koľaj</t>
  </si>
  <si>
    <t>2-koľaj</t>
  </si>
  <si>
    <t>4. automatický blok</t>
  </si>
  <si>
    <t>Nadstavba k ZABZAR</t>
  </si>
  <si>
    <t>AHr - 1 dodatočný priestorový oddiel</t>
  </si>
  <si>
    <t>ZABZAR kategórie 2 a 3 (výhybková jednotka)</t>
  </si>
  <si>
    <t>Bez návestidiel (nákladisko)</t>
  </si>
  <si>
    <t>Malá stanica s vchodovými / krycími návestidlami</t>
  </si>
  <si>
    <t>Veľká stanica s vchodovými / krycími návestidlami</t>
  </si>
  <si>
    <t>Ručne prestavované výmeny</t>
  </si>
  <si>
    <t>Ústredne prestavované výmeny</t>
  </si>
  <si>
    <t>Elektronické stavadlo a reléové (vrátane DOZZ)</t>
  </si>
  <si>
    <t>Mechanické</t>
  </si>
  <si>
    <t>Svetelné so závorami</t>
  </si>
  <si>
    <t>Priemerné ročné prevádzkové výdavky na traťové ZABZAR (na km trate)</t>
  </si>
  <si>
    <t>Nadstavba ETCS</t>
  </si>
  <si>
    <t>Nadstavba GSM-R</t>
  </si>
  <si>
    <t>Priemerné ročné prevádzkové výdavky na nadstavbu ZABZAR (na 1km trate), v prípade Ahr 1 dodatočný oddiel - hradlo)</t>
  </si>
  <si>
    <t>ZABZAR kategórie 1 (stanica resp. nákladisko)</t>
  </si>
  <si>
    <t>Svetelné bez zázvor</t>
  </si>
  <si>
    <t>Priecestné ZABZAR (počet)</t>
  </si>
  <si>
    <t>Elektrifikovaná trať podľa trakčnej sústavy</t>
  </si>
  <si>
    <t>Neelektrifkovaná trať</t>
  </si>
  <si>
    <t>Jednosmerná</t>
  </si>
  <si>
    <t>Striedavá</t>
  </si>
  <si>
    <t>Priemerné ročné prevádzkové výdavky na traťové EEZ (na 1km)</t>
  </si>
  <si>
    <t>Elektrifikovaná koľaj podľa trakčnej sústavy</t>
  </si>
  <si>
    <t>Neelektrifikovaná koľaj</t>
  </si>
  <si>
    <t>Priemerné ročné prevádzkové výdavky na staničné EEZ pre elektrifikované koľaje (pre 1km koľaje)</t>
  </si>
  <si>
    <t>Typ vozidla</t>
  </si>
  <si>
    <t>Variabilná zložka prevádzkových nákladov</t>
  </si>
  <si>
    <t>EUR/vlkm</t>
  </si>
  <si>
    <t>EUR/vlhod.</t>
  </si>
  <si>
    <t>EL Poschodová jednotka</t>
  </si>
  <si>
    <t>EL Súprava typu push-pull</t>
  </si>
  <si>
    <t>EL Rýchliková súprava*</t>
  </si>
  <si>
    <t xml:space="preserve">D Súprava Osobný vlak** </t>
  </si>
  <si>
    <t xml:space="preserve">EL Súprava Osobný vlak** </t>
  </si>
  <si>
    <t>D Motorová jednotka</t>
  </si>
  <si>
    <t>Typ nákladnej prepravy podľa komodity</t>
  </si>
  <si>
    <t>Dieselová trakcia</t>
  </si>
  <si>
    <t>Elektrická trakcia</t>
  </si>
  <si>
    <t>Intermodálna (kontajnerová)</t>
  </si>
  <si>
    <t>Automotive</t>
  </si>
  <si>
    <t>Sypké substráty, ostatné</t>
  </si>
  <si>
    <t xml:space="preserve">Priemerné jednotkové náklady na prevádzku nákladných železničných vozidiel </t>
  </si>
  <si>
    <t>Priemerné jednotkové prevádzkové náklady osobných železnčných vozidiel</t>
  </si>
  <si>
    <t>Trakcia</t>
  </si>
  <si>
    <t>EL</t>
  </si>
  <si>
    <t>Poschodová jednotka</t>
  </si>
  <si>
    <t>Súprava typu Push-pull</t>
  </si>
  <si>
    <t xml:space="preserve">D </t>
  </si>
  <si>
    <t>Motorová jednotka</t>
  </si>
  <si>
    <t>Trakčná nafta</t>
  </si>
  <si>
    <t>liter/vlkm</t>
  </si>
  <si>
    <t>-</t>
  </si>
  <si>
    <t>Trakčná elektrina</t>
  </si>
  <si>
    <t>kWh/vlkm</t>
  </si>
  <si>
    <t>Sypké substráty</t>
  </si>
  <si>
    <t>Rýchliková súprava</t>
  </si>
  <si>
    <t>Súprava Osobný vlak</t>
  </si>
  <si>
    <t>Priemerná spotreba osobných železničných koľajových vozidiel</t>
  </si>
  <si>
    <t>Príručka CBA, Tabuľka 33</t>
  </si>
  <si>
    <t>Príručka CBA, Tabuľka 34</t>
  </si>
  <si>
    <t xml:space="preserve">Priemerná spotreba nákladných železničných koľajových vozidiel </t>
  </si>
  <si>
    <t>Emisné faktory znečisťujúcich látok pre železničné koľajové vozidlá (g/kg)</t>
  </si>
  <si>
    <t>Traťová lokomotíva</t>
  </si>
  <si>
    <t>Posunovacia lokomotíva</t>
  </si>
  <si>
    <r>
      <t>PM</t>
    </r>
    <r>
      <rPr>
        <b/>
        <vertAlign val="subscript"/>
        <sz val="8"/>
        <rFont val="Arial"/>
        <family val="2"/>
        <charset val="238"/>
      </rPr>
      <t>2,5</t>
    </r>
  </si>
  <si>
    <r>
      <t>NO</t>
    </r>
    <r>
      <rPr>
        <b/>
        <vertAlign val="subscript"/>
        <sz val="8"/>
        <rFont val="Arial"/>
        <family val="2"/>
        <charset val="238"/>
      </rPr>
      <t>X</t>
    </r>
  </si>
  <si>
    <r>
      <t>SO</t>
    </r>
    <r>
      <rPr>
        <b/>
        <vertAlign val="subscript"/>
        <sz val="8"/>
        <rFont val="Arial"/>
        <family val="2"/>
        <charset val="238"/>
      </rPr>
      <t>2</t>
    </r>
  </si>
  <si>
    <r>
      <t>NH</t>
    </r>
    <r>
      <rPr>
        <b/>
        <vertAlign val="subscript"/>
        <sz val="8"/>
        <rFont val="Arial"/>
        <family val="2"/>
        <charset val="238"/>
      </rPr>
      <t>3</t>
    </r>
  </si>
  <si>
    <t>Príručka CBA, tabuľka 36</t>
  </si>
  <si>
    <t>Priemerné ročné jednotkové prevádzkové výdavky (bežné+periodické) pre všetky cesty</t>
  </si>
  <si>
    <t>Emisné faktory skleníkových plynov železničných koľajových vozidiel (tradičné palivá) (g/kg)</t>
  </si>
  <si>
    <r>
      <t>CO</t>
    </r>
    <r>
      <rPr>
        <b/>
        <vertAlign val="subscript"/>
        <sz val="8"/>
        <rFont val="Arial"/>
        <family val="2"/>
        <charset val="238"/>
      </rPr>
      <t>2</t>
    </r>
  </si>
  <si>
    <r>
      <t>CH</t>
    </r>
    <r>
      <rPr>
        <b/>
        <vertAlign val="subscript"/>
        <sz val="8"/>
        <rFont val="Arial"/>
        <family val="2"/>
        <charset val="238"/>
      </rPr>
      <t>4</t>
    </r>
  </si>
  <si>
    <r>
      <t>N</t>
    </r>
    <r>
      <rPr>
        <b/>
        <vertAlign val="subscript"/>
        <sz val="8"/>
        <rFont val="Arial"/>
        <family val="2"/>
        <charset val="238"/>
      </rPr>
      <t>2</t>
    </r>
    <r>
      <rPr>
        <b/>
        <sz val="8"/>
        <rFont val="Arial"/>
        <family val="2"/>
        <charset val="238"/>
      </rPr>
      <t>O</t>
    </r>
  </si>
  <si>
    <t>Sieť vysokého napätia (VN)</t>
  </si>
  <si>
    <t>Sieť stredného napätia (SN)</t>
  </si>
  <si>
    <t>Sieť nízkeho napätia (NN)</t>
  </si>
  <si>
    <t>Emisné faktory (gCO2/kWh) spotreby elektrickej energie</t>
  </si>
  <si>
    <t>Príručka CBA, tabuľka 39</t>
  </si>
  <si>
    <t>Príručka CBA, tabuľka 40</t>
  </si>
  <si>
    <r>
      <t>Konverzné faktory pre CO</t>
    </r>
    <r>
      <rPr>
        <b/>
        <vertAlign val="subscript"/>
        <sz val="8"/>
        <rFont val="Arial"/>
        <family val="2"/>
        <charset val="238"/>
      </rPr>
      <t>2</t>
    </r>
    <r>
      <rPr>
        <b/>
        <sz val="8"/>
        <rFont val="Arial"/>
        <family val="2"/>
        <charset val="238"/>
      </rPr>
      <t>e</t>
    </r>
  </si>
  <si>
    <t>Osobný vlak - centrum mesta</t>
  </si>
  <si>
    <t>Osobný vlak - intravilán mesta</t>
  </si>
  <si>
    <t>Osobný vlak - intravilán obce</t>
  </si>
  <si>
    <t>Nákladný vlak - centrum mesta</t>
  </si>
  <si>
    <t>Nákladný vlak - intravilán mesta</t>
  </si>
  <si>
    <t>Nákladný vlak - intravilán obce</t>
  </si>
  <si>
    <t>Príručka CBA, Tabuľka 31</t>
  </si>
  <si>
    <t>Parametre pre kvantifikáciu nerealizovaných nákladov plynúcich z cestnej dopravy v prípade "modal shift"</t>
  </si>
  <si>
    <t>! Potrebné upraviť o konverzný faktor</t>
  </si>
  <si>
    <t>Mosty železobetónové</t>
  </si>
  <si>
    <t>Mosty oceľové a priepusty</t>
  </si>
  <si>
    <t>Nástupištia</t>
  </si>
  <si>
    <t>Cestné komunikácie</t>
  </si>
  <si>
    <t xml:space="preserve">Trať – železničný spodok </t>
  </si>
  <si>
    <t xml:space="preserve">Trať – železničný zvršok </t>
  </si>
  <si>
    <t>Podporné a oporné múry, spevnenie svahu</t>
  </si>
  <si>
    <t>Elektrifikácia – trakčné napájacie stanice, trakčné vedenia</t>
  </si>
  <si>
    <t>Oznamovacie a telekomunikačné zariadenia</t>
  </si>
  <si>
    <t>Signalizačné a zabezpečovacie zariadenia</t>
  </si>
  <si>
    <t>Zariadenia energetiky a elektrotechniky</t>
  </si>
  <si>
    <t xml:space="preserve">Stroje a zariadenia </t>
  </si>
  <si>
    <t>Protihlukové a iné prvky ochrany životného prostredia</t>
  </si>
  <si>
    <t>Stavebné výdavky - Mosty železobetónové</t>
  </si>
  <si>
    <t>Stavebné výdavky - Mosty oceľové</t>
  </si>
  <si>
    <t>Stavebné objekty mostov s oceľovou konštrukciou vrátane rekonštrukcie, priepusty;</t>
  </si>
  <si>
    <t>Stavebné objekty tunela bez budov a bez trate; razený dvojkoľajný železničný tunel, portál tunela, úniková štôlňa;</t>
  </si>
  <si>
    <t>Stavebné objekty budov, napr. portálové budovy, staničné budovy, iné budovy;</t>
  </si>
  <si>
    <t>Stavebné výdavky - Nástupištia</t>
  </si>
  <si>
    <t>Stavebné objekty nástupíšť, jednostranné, obojstranné, zastrešenie nástupísk;</t>
  </si>
  <si>
    <t>Stavebné objekty mostov železničných aj cestných, vrátane rekonštrukcií mostov, mimoúrovňové cestné križovatky, podchody a podjazdy;</t>
  </si>
  <si>
    <t>Stavebné výdavky - Cestné komunikácie</t>
  </si>
  <si>
    <t>Všetky objekty, ktoré budú odovzdané iným budúcim správcom (okrem preložky ciest), napr. úpravy vodných tokov, inžinierskych sietí a pod);</t>
  </si>
  <si>
    <t>Stavebné výdavky - Trať - železničný spodok</t>
  </si>
  <si>
    <t>Stavebné výdavky - Trať - železničný zvršok</t>
  </si>
  <si>
    <t>Stavebné objekty objektovej cestnej infraštruktúry;</t>
  </si>
  <si>
    <t>Stavebné objekty železničného spodku vrátane trate v tuneli;</t>
  </si>
  <si>
    <t>Stavebné objekty železničného zvršku vrátane trate v tuneli;</t>
  </si>
  <si>
    <t>Stavebné objekty protihlukových stien a ďalších opatrení ochrany životého prostredia vrátane oplotenie diaľnice;</t>
  </si>
  <si>
    <t>Stavebné objetky spätnej rekultivácie, vegetačných úprav a pod; objekty, ktoré nie je možné zaradiť do predchádzajúcich položiek</t>
  </si>
  <si>
    <t>Stavebné výdavky - Elektrifikácia</t>
  </si>
  <si>
    <t>Stavebné výdavky - Oznamovacie a telekomunikačné zariadenia</t>
  </si>
  <si>
    <t>Stavebné výdavky - Signalizačné a zabezpečovacie zariadenia</t>
  </si>
  <si>
    <t>Stavebné výdavky - Stroje a zariadenia</t>
  </si>
  <si>
    <t>Stavebné výdavky - Zariadenia energetiky a elektrotechniky</t>
  </si>
  <si>
    <t>Stavebné objekty súvisiace s elektrifikáciou trat, trakčné napájacie stanice, silnoprúdové zariadenia a technológie, trakčné vedenie;</t>
  </si>
  <si>
    <t>Stavebné objekty železničných telekomunikačných a oznamovacích zariadení;</t>
  </si>
  <si>
    <t>Stavebné objekty systémov ETCS, GSM-R, zabezpečovacie zariadenia SZZ, TZZ, PZZ vrátane stavebných postupov;</t>
  </si>
  <si>
    <t>Stavebné objekty súvisiace s energetickými zariadeniami, napr. prípojka NN, elektrický ohrev výmen, osvetlenie staníc, úprava VN káblov 6 kV, trasformovne;</t>
  </si>
  <si>
    <t>Stavebné objekty technologických zariadení prekladísk, žeriavy a pod.;</t>
  </si>
  <si>
    <t>Príjmy za prístup</t>
  </si>
  <si>
    <t xml:space="preserve">Prevádzkové náklady </t>
  </si>
  <si>
    <t>13.1 Spoločenská čistá súčasná hodnota investície</t>
  </si>
  <si>
    <t>Celkové prevádzkové výdavky na údržbu</t>
  </si>
  <si>
    <t>7.1 Čas cestujúcich strávených cestovaním</t>
  </si>
  <si>
    <t>Táto jednoduchá štruktúra je vhodná pre projekty, pri ktorých sa v scenároch BEZ PROJEKTU a S PROJEKTOM nemení počet cestujúcich</t>
  </si>
  <si>
    <t>V prípade nových cestujúcich (modal split) sa primearne použijú ustanovenia Príručky (napr. pravidlo polovice) a štruktúra hárku sa môže upraviť</t>
  </si>
  <si>
    <t>Celkom úspora času cestujúcich v peňažnom vyjadrení</t>
  </si>
  <si>
    <t xml:space="preserve">Od roku </t>
  </si>
  <si>
    <t xml:space="preserve"> - Pre účely kvantifikácie citlivosti a rizika sa pridajú ďalšie hárky s príslušným označením</t>
  </si>
  <si>
    <t xml:space="preserve"> - Bunky, do ktorých je požadované vloženie vstupných dát od spracovateľa CBA sú zvýraznené modrou farbou </t>
  </si>
  <si>
    <t>Mosty oceľové a mosty priepusty</t>
  </si>
  <si>
    <r>
      <t xml:space="preserve">→ </t>
    </r>
    <r>
      <rPr>
        <sz val="8"/>
        <rFont val="Arial"/>
        <family val="2"/>
        <charset val="238"/>
      </rPr>
      <t>Položku "ostatné" je potrebné špecifikovať v XLS súbore a ideálne aj v textovej časti CBA</t>
    </r>
  </si>
  <si>
    <r>
      <t xml:space="preserve"> - Spracovateľ je povinný doplniť aj údaje do </t>
    </r>
    <r>
      <rPr>
        <sz val="8"/>
        <color rgb="FF3399FF"/>
        <rFont val="Arial"/>
        <family val="2"/>
        <charset val="238"/>
      </rPr>
      <t>modro-vyznačených hárkov</t>
    </r>
    <r>
      <rPr>
        <sz val="8"/>
        <rFont val="Arial"/>
        <family val="2"/>
        <charset val="238"/>
      </rPr>
      <t xml:space="preserve"> podľa pokynov v nich uvedených</t>
    </r>
  </si>
  <si>
    <t>Oprávnené výdavky (investičné)</t>
  </si>
  <si>
    <t>Oprávnené výdavky (interné riadenie)</t>
  </si>
  <si>
    <t>Oprávnené výdavky SPOLU</t>
  </si>
  <si>
    <t>ak oprávnené v rámci predloženej ŽoNFP</t>
  </si>
  <si>
    <t>2024-2023</t>
  </si>
  <si>
    <t>2024-2022</t>
  </si>
  <si>
    <t>2024-2021</t>
  </si>
  <si>
    <t>2024-2020</t>
  </si>
  <si>
    <t>2024-2019</t>
  </si>
  <si>
    <t>2024-2018</t>
  </si>
  <si>
    <t>2024-2017</t>
  </si>
  <si>
    <t>2024-2016</t>
  </si>
  <si>
    <t>2024-2015</t>
  </si>
  <si>
    <t>2024-2014</t>
  </si>
  <si>
    <t>2024-2013</t>
  </si>
  <si>
    <t>2024-2012</t>
  </si>
  <si>
    <t>2024-2011</t>
  </si>
  <si>
    <t>2024-2010</t>
  </si>
  <si>
    <t>2024-2009</t>
  </si>
  <si>
    <t>Príručka CBA, tabuľka 42, CÚ 2024</t>
  </si>
  <si>
    <t>Príručka CBA, Tabuľka 32, CÚ 2024</t>
  </si>
  <si>
    <t>Príručka CBA, časť 5.2.2.4, CÚ 2024</t>
  </si>
  <si>
    <t>Príručka CBA, Tabuľka 28, CÚ 2024</t>
  </si>
  <si>
    <t>Príručka CBA, Tabuľka 5, CÚ 2024</t>
  </si>
  <si>
    <t>Príručka CBA, tabuľka 41, CÚ 2024</t>
  </si>
  <si>
    <t>Príručka CBA, tabuľka 37, CÚ 2024</t>
  </si>
  <si>
    <t>Príručka CBA, Tabuľka 30, CÚ 2024</t>
  </si>
  <si>
    <t>Príručka CBA, Tabuľka 29, CÚ 2024</t>
  </si>
  <si>
    <t>Príručka CBA, Tabuľka 24, CÚ 2024</t>
  </si>
  <si>
    <t>Príručka CBA, Tabuľka 23, CÚ 2024</t>
  </si>
  <si>
    <t>Príručka CBA, Tabuľka 15, CÚ 2024</t>
  </si>
  <si>
    <t>Príručka CBA, Tabuľka 14, CÚ 2024</t>
  </si>
  <si>
    <t>Príručka CBA, Tabuľka 13, CÚ 2024</t>
  </si>
  <si>
    <t>Príručka CBA, Tabuľka 12, CÚ 2024</t>
  </si>
  <si>
    <t>Príručka CBA, Tabuľka 11, CÚ 2024</t>
  </si>
  <si>
    <t>Príručka CBA, Tabuľka 10, CÚ 2024</t>
  </si>
  <si>
    <t>Príručka CBA, časť 4.2.4.2, CÚ 2024</t>
  </si>
  <si>
    <t>Príručka CBA, Tabuľka 9, CÚ 2024</t>
  </si>
  <si>
    <t>Príručka CBA, Tabuľka 8, CÚ 2024</t>
  </si>
  <si>
    <t>Príručka CBA, Tabuľka 7, CÚ 2024</t>
  </si>
  <si>
    <t>Príručka CBA, Tabuľka 6, CÚ 2024</t>
  </si>
  <si>
    <t>Cenová inflácia</t>
  </si>
  <si>
    <t>Percentuálna zmena, pokiaľ nie je uvedené inak</t>
  </si>
  <si>
    <t>skut.</t>
  </si>
  <si>
    <t>prog.</t>
  </si>
  <si>
    <t>Spotrebiteľská inflácia</t>
  </si>
  <si>
    <t xml:space="preserve">Spotrebiteľská inflácia (CPI) </t>
  </si>
  <si>
    <t>*</t>
  </si>
  <si>
    <t xml:space="preserve">   Inflácia regulovaných cien</t>
  </si>
  <si>
    <t>Jadrová inflácia</t>
  </si>
  <si>
    <t xml:space="preserve">   Inflácia cien potravín</t>
  </si>
  <si>
    <t>Čistá inflácia</t>
  </si>
  <si>
    <t xml:space="preserve">   Inflácia cien palív</t>
  </si>
  <si>
    <t xml:space="preserve">   Inflácia obchodovateľných tovarov</t>
  </si>
  <si>
    <t xml:space="preserve">   Inflácia trhových služieb</t>
  </si>
  <si>
    <t xml:space="preserve">Spotrebiteľská inflácia (HICP) </t>
  </si>
  <si>
    <t>Dôchodcovská inflácia</t>
  </si>
  <si>
    <t>Nízkopríjmová inflácia (apríl (t)/apríl (t-1))</t>
  </si>
  <si>
    <t>Cenové deflátory</t>
  </si>
  <si>
    <t>Deflátor hrubého domáceho produktu</t>
  </si>
  <si>
    <t>Deflátor súkromnej spotreby</t>
  </si>
  <si>
    <t>Deflátor vládnej spotreby</t>
  </si>
  <si>
    <t>Deflátor tvorby fixného kapitálu</t>
  </si>
  <si>
    <t>Deflátor exportu tovarov a služieb</t>
  </si>
  <si>
    <t>Deflátor importu tovarov a služieb</t>
  </si>
  <si>
    <t>Terms of trade tovarov a služieb</t>
  </si>
  <si>
    <t>Aktuálna váha jednotlivých zložiek na indexe spotrebiteľských cien (CPI)</t>
  </si>
  <si>
    <t>Regulované ceny</t>
  </si>
  <si>
    <t>Ceny potravín</t>
  </si>
  <si>
    <t>Ceny palív</t>
  </si>
  <si>
    <t>Obchodovateľné tovary</t>
  </si>
  <si>
    <t>Trhové služby</t>
  </si>
  <si>
    <t>Hrubý domáci produkt</t>
  </si>
  <si>
    <t>HDP v stálych cenách</t>
  </si>
  <si>
    <t>Hrubý domáci produkt (mld. €)</t>
  </si>
  <si>
    <t xml:space="preserve">   rast</t>
  </si>
  <si>
    <t>Spotreba domácností (mld. €)</t>
  </si>
  <si>
    <t>Spotreba NISD (mld. €)</t>
  </si>
  <si>
    <t>Vládna spotreba (mld. €)</t>
  </si>
  <si>
    <t>Tvorba fixného kapitálu (mld. €)</t>
  </si>
  <si>
    <t>Export tovarov a služieb (mld. €)</t>
  </si>
  <si>
    <t>Import tovarov a služieb (mld. €)</t>
  </si>
  <si>
    <t>HDP v bežných cenách</t>
  </si>
  <si>
    <t>HDP - príspevok k rastu</t>
  </si>
  <si>
    <t>Domáci dopyt</t>
  </si>
  <si>
    <t>Súkromná spotreba</t>
  </si>
  <si>
    <t>Vládna spotreba</t>
  </si>
  <si>
    <t>Tvorba fixného kapitálu</t>
  </si>
  <si>
    <t>Zmena stavu zásob</t>
  </si>
  <si>
    <t>Zahraničný dopyt</t>
  </si>
  <si>
    <t>THFK - príspevok k rastu</t>
  </si>
  <si>
    <t>Súkromné investície</t>
  </si>
  <si>
    <t>Jadrové investície</t>
  </si>
  <si>
    <t>EU fondy</t>
  </si>
  <si>
    <t>Plán obnovy a odolnosti</t>
  </si>
  <si>
    <t>Volkswagen</t>
  </si>
  <si>
    <t>Vládne investície</t>
  </si>
  <si>
    <t>Náklady na energie (osvetlenie staníc/zastávok)</t>
  </si>
  <si>
    <t>Iné špecifické výdavky (personálne výdavky)</t>
  </si>
  <si>
    <t>S/I</t>
  </si>
  <si>
    <t>3.5 Prevádzkové výdavky pre potreby výpočtu FM</t>
  </si>
  <si>
    <t>Zisk / Strata bez projektu</t>
  </si>
  <si>
    <t>Zisk / Strata s projektom</t>
  </si>
  <si>
    <t>Dotácia bez projektu</t>
  </si>
  <si>
    <t>Dotácia s projektom</t>
  </si>
  <si>
    <t xml:space="preserve">Zmena dotácie </t>
  </si>
  <si>
    <t>Zmena celkových inkrementálnych výdavkov na prevádzku</t>
  </si>
  <si>
    <t>Zmena celkových inkrementálnych výdavkov na prevádzku - zmena dotácie</t>
  </si>
  <si>
    <t>Zmena inkrementálnych nákladov na prevádzku a údržbu pre výpočet medzery vo financovaní</t>
  </si>
  <si>
    <t>1.1 Investičné výdavky (EUR) - finančné (CÚ 2024)</t>
  </si>
  <si>
    <t>Bez projektu</t>
  </si>
  <si>
    <t>S projektom - Variant 1</t>
  </si>
  <si>
    <t>Osvetlenie staníc/nástupíšť</t>
  </si>
  <si>
    <t>Spolu</t>
  </si>
  <si>
    <t>Stanica</t>
  </si>
  <si>
    <t>Pracovná pozícia</t>
  </si>
  <si>
    <t>Počet zamestnancov</t>
  </si>
  <si>
    <t>Mesačné náklady na pracovnú pozíciu</t>
  </si>
  <si>
    <t>Ročné náklady na pracovnú pozíciu</t>
  </si>
  <si>
    <t>Názov</t>
  </si>
  <si>
    <t>Č. KZAM</t>
  </si>
  <si>
    <t>TT</t>
  </si>
  <si>
    <t>Názov KZAM</t>
  </si>
  <si>
    <t>Mesačné náklady na 1 pracovníka</t>
  </si>
  <si>
    <t xml:space="preserve">    PM</t>
  </si>
  <si>
    <t xml:space="preserve">    SS</t>
  </si>
  <si>
    <t xml:space="preserve">     R</t>
  </si>
  <si>
    <t>CI</t>
  </si>
  <si>
    <t>NŽST Strážske</t>
  </si>
  <si>
    <t>N09</t>
  </si>
  <si>
    <t>Výpravca</t>
  </si>
  <si>
    <t>N06</t>
  </si>
  <si>
    <t>Signalista</t>
  </si>
  <si>
    <t>N02</t>
  </si>
  <si>
    <t>Robotník v doprave</t>
  </si>
  <si>
    <t>Spolu za pracovisko:</t>
  </si>
  <si>
    <t>ŽST PREŠOV</t>
  </si>
  <si>
    <t>N13</t>
  </si>
  <si>
    <t>Prednosta ŽST</t>
  </si>
  <si>
    <t>N12</t>
  </si>
  <si>
    <t>Dopravný námestník ŽST</t>
  </si>
  <si>
    <t>N11</t>
  </si>
  <si>
    <t>Námestník pre KRaO v stre</t>
  </si>
  <si>
    <t>N10</t>
  </si>
  <si>
    <t>Dozorca prevádzky</t>
  </si>
  <si>
    <t>N08</t>
  </si>
  <si>
    <t>Odborný zamestnanec riade</t>
  </si>
  <si>
    <t>N07</t>
  </si>
  <si>
    <t>Komandujúci</t>
  </si>
  <si>
    <t>Vedúci technológ</t>
  </si>
  <si>
    <t>Referent krízového riaden</t>
  </si>
  <si>
    <t>Referent prierezových čin</t>
  </si>
  <si>
    <t>N04</t>
  </si>
  <si>
    <t>Operátor</t>
  </si>
  <si>
    <t>N03</t>
  </si>
  <si>
    <t>Údržbár</t>
  </si>
  <si>
    <t>NŽST Šarišské Lúky</t>
  </si>
  <si>
    <t>N05</t>
  </si>
  <si>
    <t>Dozorca výhybiek</t>
  </si>
  <si>
    <t>NŽST Kapušany pri Prešove</t>
  </si>
  <si>
    <t>ŽST VRANOV NAD TOPĽOU</t>
  </si>
  <si>
    <t>NŽST Čierne nad Topľou</t>
  </si>
  <si>
    <t>NŽST Hanušovce nad Topľou</t>
  </si>
  <si>
    <t>NŽST Lipníky</t>
  </si>
  <si>
    <t>NŽST Nižný Hrabovec</t>
  </si>
  <si>
    <t>Železničný zvršok a spodok + súvisiace súčasti trate</t>
  </si>
  <si>
    <t>Prevádzkové výdavky na hlavné traťové koľaje</t>
  </si>
  <si>
    <t>x</t>
  </si>
  <si>
    <t>Prevádzkové výdavky na staničné koľaje</t>
  </si>
  <si>
    <t>Prevádzkové výdavky na výhybky</t>
  </si>
  <si>
    <t>Prevádzkové výdavky na železničné mosty</t>
  </si>
  <si>
    <t>Prevádzkové výdavky na železničné tunely</t>
  </si>
  <si>
    <t>Dĺžka hlavných traťových koľají vrátane priebežných koľají v staniciach  [km] =&gt; 1-koľaj</t>
  </si>
  <si>
    <t>Dĺžka hlavných traťových koľají vrátane priebežných koľají v staniciach  [km] =&gt; 2-koľaj</t>
  </si>
  <si>
    <t>Dĺžka vedľajších traťových koľají v staniciach  [km]</t>
  </si>
  <si>
    <t>Celkový počet výhybiek [ks]</t>
  </si>
  <si>
    <t>Dĺžka mostov - oceľový  [km] =&gt; 1-koľaj</t>
  </si>
  <si>
    <t>Dĺžka mostov - oceľový  [km] =&gt; 2-koľaj</t>
  </si>
  <si>
    <t>Dĺžka mostov - masívny  [km] =&gt; 1-koľaj</t>
  </si>
  <si>
    <t>Dĺžka mostov - masívny  [km] =&gt; 2-koľaj</t>
  </si>
  <si>
    <t>Dĺžka železničných tunelov  [km]</t>
  </si>
  <si>
    <t>Príručka CBA, Tabuľka 6</t>
  </si>
  <si>
    <t>Nemodernizovaných</t>
  </si>
  <si>
    <t>Modernizovaných</t>
  </si>
  <si>
    <r>
      <t xml:space="preserve">Dĺžka hlavných traťových koľají vrátane priebežných koľají v staniciach  </t>
    </r>
    <r>
      <rPr>
        <sz val="11"/>
        <color theme="1"/>
        <rFont val="Calibri"/>
        <family val="2"/>
        <charset val="238"/>
      </rPr>
      <t>[km] =&gt; 1-koľaj</t>
    </r>
  </si>
  <si>
    <t>Počet koľají</t>
  </si>
  <si>
    <t>Dĺžka hlavných koľají 
v km</t>
  </si>
  <si>
    <t>Príručka CBA, Tabuľka 7</t>
  </si>
  <si>
    <r>
      <t xml:space="preserve">Dĺžka vedľajších traťových koľají v staniciach  </t>
    </r>
    <r>
      <rPr>
        <sz val="11"/>
        <color theme="1"/>
        <rFont val="Calibri"/>
        <family val="2"/>
        <charset val="238"/>
      </rPr>
      <t>[km]</t>
    </r>
  </si>
  <si>
    <t>Dĺžka vedľajších koľají v stanici 
v km</t>
  </si>
  <si>
    <t>Príručka CBA, Tabuľka 8</t>
  </si>
  <si>
    <t>Čiastočne modenizovanané (10%)</t>
  </si>
  <si>
    <t>Počet výhybiek
v ks</t>
  </si>
  <si>
    <t>Príručka CBA, Tabuľka 9</t>
  </si>
  <si>
    <r>
      <t xml:space="preserve">Dĺžka mostov - oceľový  </t>
    </r>
    <r>
      <rPr>
        <sz val="11"/>
        <color theme="1"/>
        <rFont val="Calibri"/>
        <family val="2"/>
        <charset val="238"/>
      </rPr>
      <t>[km] =&gt; 1-koľaj</t>
    </r>
  </si>
  <si>
    <r>
      <t xml:space="preserve">Dĺžka mostov - oceľový  </t>
    </r>
    <r>
      <rPr>
        <sz val="11"/>
        <color theme="1"/>
        <rFont val="Calibri"/>
        <family val="2"/>
        <charset val="238"/>
      </rPr>
      <t>[km] =&gt; 2-koľaj</t>
    </r>
  </si>
  <si>
    <t>Typ mostov</t>
  </si>
  <si>
    <t>Dĺžka železničných mostov
v km</t>
  </si>
  <si>
    <t>Príručka CBA, časť 4.2.4.2</t>
  </si>
  <si>
    <t>Dĺžka železničných tunelov
v km</t>
  </si>
  <si>
    <t>Železničné zabezpečovacie zariadenia</t>
  </si>
  <si>
    <t>TZZ</t>
  </si>
  <si>
    <t>nadstavba TZZ</t>
  </si>
  <si>
    <t>SZZ</t>
  </si>
  <si>
    <t>PZZ</t>
  </si>
  <si>
    <t>3. automatické hradlo</t>
  </si>
  <si>
    <t>Príručka CBA, Tabuľka 10</t>
  </si>
  <si>
    <r>
      <t xml:space="preserve">Dĺžka medzistaničného úseku  </t>
    </r>
    <r>
      <rPr>
        <sz val="11"/>
        <color theme="1"/>
        <rFont val="Calibri"/>
        <family val="2"/>
        <charset val="238"/>
      </rPr>
      <t>[km] =&gt; 1-koľaj - 1. telefonické dorozumievanie</t>
    </r>
  </si>
  <si>
    <t>Dĺžka medzistaničného úseku  [km] =&gt; 2-koľaj - 1. telefonické dorozumievanie</t>
  </si>
  <si>
    <r>
      <t xml:space="preserve">Dĺžka medzistaničného úseku  </t>
    </r>
    <r>
      <rPr>
        <sz val="11"/>
        <color theme="1"/>
        <rFont val="Calibri"/>
        <family val="2"/>
        <charset val="238"/>
      </rPr>
      <t>[km] =&gt; 1-koľaj - 2. poloautomatický blok</t>
    </r>
  </si>
  <si>
    <t>Dĺžka medzistaničného úseku  [km] =&gt; 2-koľaj - 2. poloautomatický blok</t>
  </si>
  <si>
    <r>
      <t xml:space="preserve">Dĺžka medzistaničného úseku  </t>
    </r>
    <r>
      <rPr>
        <sz val="11"/>
        <color theme="1"/>
        <rFont val="Calibri"/>
        <family val="2"/>
        <charset val="238"/>
      </rPr>
      <t>[km] =&gt; 1-koľaj - 3. automatické hradlo</t>
    </r>
  </si>
  <si>
    <t>Dĺžka medzistaničného úseku  [km] =&gt; 2-koľaj - 3. automatické hradlo</t>
  </si>
  <si>
    <r>
      <t xml:space="preserve">Dĺžka medzistaničného úseku  </t>
    </r>
    <r>
      <rPr>
        <sz val="11"/>
        <color theme="1"/>
        <rFont val="Calibri"/>
        <family val="2"/>
        <charset val="238"/>
      </rPr>
      <t>[km] =&gt; 1-koľaj - 4. automatický blok</t>
    </r>
  </si>
  <si>
    <t>Dĺžka medzistaničného úseku  [km] =&gt; 2-koľaj - 4. automatický blok</t>
  </si>
  <si>
    <t>Kategória zabzar
(TZZ)</t>
  </si>
  <si>
    <t>Dĺžka medzistaničného úseku 
v km</t>
  </si>
  <si>
    <t>Príručka CBA, Tabuľka 11</t>
  </si>
  <si>
    <r>
      <t xml:space="preserve">Dĺžka medzistaničného úseku  </t>
    </r>
    <r>
      <rPr>
        <sz val="11"/>
        <color theme="1"/>
        <rFont val="Calibri"/>
        <family val="2"/>
        <charset val="238"/>
      </rPr>
      <t>[km] =&gt; 1-koľaj - AHr - 1 dodatočný priestorový oddiel</t>
    </r>
  </si>
  <si>
    <t>Dĺžka medzistaničného úseku  [km] =&gt; 2-koľaj - AHr - 1 dodatočný priestorový oddiel</t>
  </si>
  <si>
    <r>
      <t xml:space="preserve">Dĺžka medzistaničného úseku  </t>
    </r>
    <r>
      <rPr>
        <sz val="11"/>
        <color theme="1"/>
        <rFont val="Calibri"/>
        <family val="2"/>
        <charset val="238"/>
      </rPr>
      <t>[km] =&gt; 1-koľaj - Nadstavba ETCS</t>
    </r>
  </si>
  <si>
    <t>Dĺžka medzistaničného úseku  [km] =&gt; 2-koľaj - Nadstavba ETCS</t>
  </si>
  <si>
    <r>
      <t xml:space="preserve">Dĺžka medzistaničného úseku  </t>
    </r>
    <r>
      <rPr>
        <sz val="11"/>
        <color theme="1"/>
        <rFont val="Calibri"/>
        <family val="2"/>
        <charset val="238"/>
      </rPr>
      <t>[km] =&gt; 1-koľaj - Nadstavba GSM-R</t>
    </r>
  </si>
  <si>
    <t>Dĺžka medzistaničného úseku  [km] =&gt; 2-koľaj - Nadstavba GSM-R</t>
  </si>
  <si>
    <t>Počet dodatočných oddielov
AHr - 1
(nadstavba TZZ)</t>
  </si>
  <si>
    <t>Príručka CBA, Tabuľka 12</t>
  </si>
  <si>
    <t>Počet staníc [ks] - Bez návestidiel (nákladisko)</t>
  </si>
  <si>
    <t>Počet staníc [ks] - Malá stanica s vchodovými / krycími návestidlami</t>
  </si>
  <si>
    <t>Počet staníc [ks] - Veľká stanica s vchodovými / krycími návestidlami</t>
  </si>
  <si>
    <t>Počet výhybkových jednotiek [ks] - Ručne prestavované výmeny</t>
  </si>
  <si>
    <t>Počet výhybkových jednotiek [ks] - Ústredne prestavované výmeny</t>
  </si>
  <si>
    <t>Počet výhybkových jednotiek [ks] - Elektronické stavadlo a reléové (vrátane DOZZ)</t>
  </si>
  <si>
    <t>Počet staníc/zastávok</t>
  </si>
  <si>
    <t>SZZ
1 kategória</t>
  </si>
  <si>
    <t>Počet výhybkových jednotiek</t>
  </si>
  <si>
    <t>SZZ
2 a 3 kategória</t>
  </si>
  <si>
    <t>Svetelné bez závor</t>
  </si>
  <si>
    <t>Príručka CBA, Tabuľka 13</t>
  </si>
  <si>
    <t>Počet PZZ [ks] - Mechanické</t>
  </si>
  <si>
    <t>Počet PZZ [ks] - Svetelné bez zázvor</t>
  </si>
  <si>
    <t>Počet PZZ [ks] - Svetelné so závorami</t>
  </si>
  <si>
    <t>Typ priecestia</t>
  </si>
  <si>
    <t>Počet priecestí</t>
  </si>
  <si>
    <t>Železničné traťové a staničné EEZ</t>
  </si>
  <si>
    <t>Traťové EEZ</t>
  </si>
  <si>
    <t>Staničné EEZ</t>
  </si>
  <si>
    <t>Príručka CBA, Tabuľka 14</t>
  </si>
  <si>
    <t>Dĺžka hlavných traťových koľají mimo staníc  [km] =&gt; 1-koľaj - Jednosmerná</t>
  </si>
  <si>
    <t>Dĺžka hlavných traťových koľají mimo staníc  [km] =&gt; 2-koľaj - Jednosmerná</t>
  </si>
  <si>
    <t>Dĺžka hlavných traťových koľají mimo staníc  [km] =&gt; 1-koľaj - Striedavá</t>
  </si>
  <si>
    <t>Dĺžka hlavných traťových koľají mimo staníc  [km] =&gt; 2-koľaj - Striedavá</t>
  </si>
  <si>
    <t>Dĺžka hlavných traťových koľají mimo staníc  [km] =&gt; 1-koľaj - Neelektrifkovaná trať</t>
  </si>
  <si>
    <t>Dĺžka hlavných traťových koľají mimo staníc  [km] =&gt; 2-koľaj - Neelektrifkovaná trať</t>
  </si>
  <si>
    <t>Typ napájacej sústavy</t>
  </si>
  <si>
    <t>Dĺžka  koľají 
v km
(mimo železničných staníc)</t>
  </si>
  <si>
    <t>Príručka CBA, Tabuľka 15</t>
  </si>
  <si>
    <t>Dĺžka staničných koľají  [km] - Jednosmerná</t>
  </si>
  <si>
    <t>Dĺžka staničných koľají  [km] - Striedavá</t>
  </si>
  <si>
    <t>Dĺžka staničných koľají  [km] - Neelektrifikovaná koľaj</t>
  </si>
  <si>
    <t>Dĺžka  koľají 
v km
(v železničných staniciach)</t>
  </si>
  <si>
    <t>Dopravný bod (CSKMD) / trať</t>
  </si>
  <si>
    <t>výkon (kW)</t>
  </si>
  <si>
    <t>Ročná spotreba (kWh)</t>
  </si>
  <si>
    <t>pôvodná cena za spotrebu / rok (€)</t>
  </si>
  <si>
    <t>nový výkon (kW)</t>
  </si>
  <si>
    <t>nová Ročná spotreba (kWh)</t>
  </si>
  <si>
    <t>nová cena za spotrebu / rok (€)</t>
  </si>
  <si>
    <t>Šarišské Lúky</t>
  </si>
  <si>
    <t>Kapušany pri Prešove</t>
  </si>
  <si>
    <t>Lipníky</t>
  </si>
  <si>
    <t>Hanušovce nad Topľou</t>
  </si>
  <si>
    <t>Čierne nad Topľou</t>
  </si>
  <si>
    <t>Soľ</t>
  </si>
  <si>
    <t>Vranov nad Topľou</t>
  </si>
  <si>
    <t>Nižný Hrabovec</t>
  </si>
  <si>
    <t>Prešov</t>
  </si>
  <si>
    <t xml:space="preserve">Prešov/mimo/ - Šarišské Lúky/mimo/ </t>
  </si>
  <si>
    <t>Medzistaničný úsek</t>
  </si>
  <si>
    <t xml:space="preserve">Šarišské Lúky/mimo/  - Kapušany pri Prešove/mimo/ </t>
  </si>
  <si>
    <t>Kapušany pri Prešove/mimo/  - Lada</t>
  </si>
  <si>
    <t>Lada</t>
  </si>
  <si>
    <t xml:space="preserve">Lada  - Lipníky/mimo/ </t>
  </si>
  <si>
    <t>Lipníky/mimo/  - Pavlovce</t>
  </si>
  <si>
    <t>Pavlovce</t>
  </si>
  <si>
    <t>Pavlovce  - Hanušovce nad Topľou mesto</t>
  </si>
  <si>
    <t>Hanušovce nad Topľou mesto</t>
  </si>
  <si>
    <t xml:space="preserve">Hanušovce nad Topľou mesto  - Hanušovce nad Topľou/mimo/ </t>
  </si>
  <si>
    <t>Hanušovce nad Topľou/mimo/  - Bystré</t>
  </si>
  <si>
    <t>Bystré</t>
  </si>
  <si>
    <t xml:space="preserve">Bystré  - Čierne nad Topľou/mimo/ </t>
  </si>
  <si>
    <t>Čierne nad Topľou/mimo/  - Hlinné</t>
  </si>
  <si>
    <t>Hlinné</t>
  </si>
  <si>
    <t>Hlinné - Soľ</t>
  </si>
  <si>
    <t xml:space="preserve">Soľ  - Komárany </t>
  </si>
  <si>
    <t>Komárany</t>
  </si>
  <si>
    <t xml:space="preserve">Komárany  - Vranov nad Topľou/mimo/ </t>
  </si>
  <si>
    <t>Vranov nad Topľou/mimo/  - Vranovské Dlhé</t>
  </si>
  <si>
    <t>Vranovské Dlhé</t>
  </si>
  <si>
    <t>Vranovské Dlhé  - Hencovce</t>
  </si>
  <si>
    <t>Hencovce</t>
  </si>
  <si>
    <t xml:space="preserve">Hencovce  - Nižný Hrabovec/mimo/ </t>
  </si>
  <si>
    <t xml:space="preserve">Nižný Hrabovec/mimo/  - Strážske/mimo/ </t>
  </si>
  <si>
    <t>Strážske</t>
  </si>
  <si>
    <t>Kapušany pri Prešove/mimo/ - Fulianka/mimo/</t>
  </si>
  <si>
    <t>Fulianka</t>
  </si>
  <si>
    <t>Fulianka/mimo/ - Tulčík/mimo/</t>
  </si>
  <si>
    <t>Tulčík</t>
  </si>
  <si>
    <t>Tulčík/mimo/ - Demjata/mimo/</t>
  </si>
  <si>
    <t>Demjata</t>
  </si>
  <si>
    <t>Demjata/mimo/ - Demjata obec/mimo/</t>
  </si>
  <si>
    <t>Demjata obec</t>
  </si>
  <si>
    <t>Demjata obec/mimo/ - Raslavice/mimo/</t>
  </si>
  <si>
    <t>Raslavice</t>
  </si>
  <si>
    <t>1-koľaj / 2-koľaj</t>
  </si>
  <si>
    <t>Oceľový / Masívny</t>
  </si>
  <si>
    <t xml:space="preserve">Jednosmerná
</t>
  </si>
  <si>
    <t xml:space="preserve">
Striedavá
</t>
  </si>
  <si>
    <t>2.3 Zostatková hodnota ako čistá súčasná hodnota peňažných tokov zostávajúcej životnosti po uplynutí referenčného obdobia</t>
  </si>
  <si>
    <t>Variant 1 - „Diaľkové ovládanie zabezpečovacieho zariadenia v úseku trate  Strážske - Prešov“ – redukovaný rozsah zapojených výhybiek</t>
  </si>
  <si>
    <t>S projektom
Variant 1
1.etapa + 2.etapa</t>
  </si>
  <si>
    <t>Rok &gt;&gt;&gt;</t>
  </si>
  <si>
    <t>Sumárna tabuľka</t>
  </si>
  <si>
    <t xml:space="preserve">Úspora času v osobohod.  prevedení cestujúci </t>
  </si>
  <si>
    <t>osobná doprava</t>
  </si>
  <si>
    <t xml:space="preserve">Úspora času v osobohod.  existujúci cestujúci </t>
  </si>
  <si>
    <t xml:space="preserve">Osobokm prevedení cestujúci </t>
  </si>
  <si>
    <t xml:space="preserve">Prevedení cestujúci </t>
  </si>
  <si>
    <t xml:space="preserve">Existujúci cestujúci vlakom </t>
  </si>
  <si>
    <t>Koeficienty</t>
  </si>
  <si>
    <t xml:space="preserve">Existujúci cestujúci </t>
  </si>
  <si>
    <t>Prevedení cestujúci</t>
  </si>
  <si>
    <t>dĺžka cesty - cestná doprava  [km]</t>
  </si>
  <si>
    <t>úspora času železničná doprava vs cestná doprava [hod.]</t>
  </si>
  <si>
    <t>Osobná</t>
  </si>
  <si>
    <t>Osobná doprava</t>
  </si>
  <si>
    <t>dĺžka cesty - železničná doprava  [km]</t>
  </si>
  <si>
    <t>úspora času železničná doprava [hod.]</t>
  </si>
  <si>
    <t>Úspora času v osobohod.  existujúci cestujúci</t>
  </si>
  <si>
    <t>Implementácia projektu</t>
  </si>
  <si>
    <t>Prešov &lt;=&gt; Kapušany pri Prešove</t>
  </si>
  <si>
    <t>Kapušany pri Prešove &lt;=&gt; Vranov nad Topľou</t>
  </si>
  <si>
    <t>Vranov nad Topľou &lt;=&gt; Strážske</t>
  </si>
  <si>
    <t>Kapušany pri Prešove &lt;=&gt; Raslavice</t>
  </si>
  <si>
    <t>DOZZ
Variant 1 a Variant 2</t>
  </si>
  <si>
    <t>DOZZ
Variant 2+</t>
  </si>
  <si>
    <t>NŽST Raslavice</t>
  </si>
  <si>
    <t>Výhybňa Soľ</t>
  </si>
  <si>
    <t>62. zasadnutie Výboru pre makroekonomické prognózy, 1.2.2023</t>
  </si>
  <si>
    <t>Príručka CBA, Tabuľka 20 (2027 - 2060) + 62. zasadnutie Výboru pre makroekonomické prognózy, 1.2.2023 (2022 - 2026)</t>
  </si>
  <si>
    <t>Volvo</t>
  </si>
  <si>
    <t>2028 - 2053</t>
  </si>
  <si>
    <t>S projektom
Variant 1
2027</t>
  </si>
  <si>
    <t>S projektom
Variant 1
2028 - 2053</t>
  </si>
  <si>
    <t>S projektom
Variant 1
 2027</t>
  </si>
  <si>
    <r>
      <rPr>
        <strike/>
        <sz val="11"/>
        <color rgb="FFFFFF00"/>
        <rFont val="Calibri"/>
        <family val="2"/>
        <charset val="238"/>
        <scheme val="minor"/>
      </rPr>
      <t>117</t>
    </r>
    <r>
      <rPr>
        <sz val="10"/>
        <rFont val="Arial"/>
        <family val="2"/>
      </rPr>
      <t xml:space="preserve">  </t>
    </r>
    <r>
      <rPr>
        <sz val="11"/>
        <color rgb="FFFF0000"/>
        <rFont val="Calibri"/>
        <family val="2"/>
        <charset val="238"/>
        <scheme val="minor"/>
      </rPr>
      <t>122</t>
    </r>
  </si>
  <si>
    <t xml:space="preserve">Zmena hodnoty premennej </t>
  </si>
  <si>
    <t>-1%</t>
  </si>
  <si>
    <t>0%</t>
  </si>
  <si>
    <t>+1%</t>
  </si>
  <si>
    <t>Zmena v %</t>
  </si>
  <si>
    <t>Investičné výdavky - zmena v %</t>
  </si>
  <si>
    <t>Prevádzkové príjmy - zmena v %</t>
  </si>
  <si>
    <t>Zostatková hodnota - zmena v %</t>
  </si>
  <si>
    <t>Kritická premenná?</t>
  </si>
  <si>
    <t>Prepínacia hodnota
(switching value)</t>
  </si>
  <si>
    <t>Poznámka</t>
  </si>
  <si>
    <t>Áno</t>
  </si>
  <si>
    <t>Nie</t>
  </si>
  <si>
    <t>N/A.</t>
  </si>
  <si>
    <t>Netestované, nejde o kritickú premennú.</t>
  </si>
  <si>
    <t>Počet cestujúcich</t>
  </si>
  <si>
    <t>Investičné náklady - zmena v %</t>
  </si>
  <si>
    <t>Úspora času - osobná  doprava - zmena v %</t>
  </si>
  <si>
    <t>Počet cestujúcich - zmena v %</t>
  </si>
  <si>
    <t>Analýza scenárov</t>
  </si>
  <si>
    <t>Scenár</t>
  </si>
  <si>
    <t>Pesimistícký scenár</t>
  </si>
  <si>
    <t>Realistický scenár</t>
  </si>
  <si>
    <t>Rovnaké ako prognózované</t>
  </si>
  <si>
    <t>Rovnaká ako prognózovaná</t>
  </si>
  <si>
    <t>Rovnaká úspora ako prognózovaná</t>
  </si>
  <si>
    <t>Optimistický scenár</t>
  </si>
  <si>
    <t>Scenáre</t>
  </si>
  <si>
    <t>Pesimistický scenár</t>
  </si>
  <si>
    <t xml:space="preserve">FRR/C [%] </t>
  </si>
  <si>
    <t xml:space="preserve">FNPV/C  [EUR] </t>
  </si>
  <si>
    <t xml:space="preserve">ERR [%] </t>
  </si>
  <si>
    <t xml:space="preserve">ENPV [EUR] </t>
  </si>
  <si>
    <t>Nepriaznivá údalosť</t>
  </si>
  <si>
    <t>Ovplyvnená kritická premenná</t>
  </si>
  <si>
    <t>Príčina nepriaznivej udalosti</t>
  </si>
  <si>
    <t>Vplyv na projekt</t>
  </si>
  <si>
    <t>Dopad na cash-flow</t>
  </si>
  <si>
    <t>Pravdepodobnosť výskytu</t>
  </si>
  <si>
    <t>Závažnosť vplyvu</t>
  </si>
  <si>
    <t>Úroveň rizika</t>
  </si>
  <si>
    <t>Preventívne alebo zmierňujúce opatrenie</t>
  </si>
  <si>
    <t>Zostatkové riziko</t>
  </si>
  <si>
    <t>podobnosť výskytu</t>
  </si>
  <si>
    <t>Zhoršenie socio-ekonomických ukazovateľov projektu</t>
  </si>
  <si>
    <t>A</t>
  </si>
  <si>
    <t>II</t>
  </si>
  <si>
    <t>Nízke</t>
  </si>
  <si>
    <t>Stredná</t>
  </si>
  <si>
    <t>B</t>
  </si>
  <si>
    <t>III</t>
  </si>
  <si>
    <t>Realizácia projektu</t>
  </si>
  <si>
    <t>C</t>
  </si>
  <si>
    <t xml:space="preserve">Zohľadnenie rizika nárastu cien Uchádzačom v rámci verejného obstarávania
Uplatnenie valorizačného mechanizmu v rámci verejného obstarávania a zmluvy o dielo
</t>
  </si>
  <si>
    <t>Stredné</t>
  </si>
  <si>
    <t>Prevádzka</t>
  </si>
  <si>
    <t xml:space="preserve">
Zhoršenie socio-ekonomických ukazovateľov projektu</t>
  </si>
  <si>
    <r>
      <rPr>
        <b/>
        <sz val="11"/>
        <color theme="1"/>
        <rFont val="Calibri"/>
        <family val="2"/>
        <scheme val="minor"/>
      </rPr>
      <t>Kategória A</t>
    </r>
    <r>
      <rPr>
        <sz val="10"/>
        <rFont val="Arial"/>
        <family val="2"/>
        <charset val="238"/>
      </rPr>
      <t xml:space="preserve"> </t>
    </r>
    <r>
      <rPr>
        <sz val="11"/>
        <color theme="1"/>
        <rFont val="Calibri"/>
        <family val="2"/>
      </rPr>
      <t>→</t>
    </r>
    <r>
      <rPr>
        <sz val="10"/>
        <rFont val="Arial"/>
        <family val="2"/>
        <charset val="238"/>
      </rPr>
      <t xml:space="preserve"> Veľmi málo pravdepodobné (0-10 % šanca)</t>
    </r>
  </si>
  <si>
    <r>
      <rPr>
        <b/>
        <sz val="11"/>
        <color theme="1"/>
        <rFont val="Calibri"/>
        <family val="2"/>
        <scheme val="minor"/>
      </rPr>
      <t>Kategória B</t>
    </r>
    <r>
      <rPr>
        <sz val="10"/>
        <rFont val="Arial"/>
        <family val="2"/>
        <charset val="238"/>
      </rPr>
      <t xml:space="preserve"> → Málo pravdepodobné (10-33 % šanca)</t>
    </r>
  </si>
  <si>
    <r>
      <rPr>
        <b/>
        <sz val="11"/>
        <color theme="1"/>
        <rFont val="Calibri"/>
        <family val="2"/>
        <scheme val="minor"/>
      </rPr>
      <t>Kategória C</t>
    </r>
    <r>
      <rPr>
        <sz val="10"/>
        <rFont val="Arial"/>
        <family val="2"/>
        <charset val="238"/>
      </rPr>
      <t xml:space="preserve"> → Stredná miera pravdepodobnosti (33-66 % šanca)</t>
    </r>
  </si>
  <si>
    <r>
      <rPr>
        <b/>
        <sz val="11"/>
        <color theme="1"/>
        <rFont val="Calibri"/>
        <family val="2"/>
        <scheme val="minor"/>
      </rPr>
      <t>Kategória D</t>
    </r>
    <r>
      <rPr>
        <sz val="10"/>
        <rFont val="Arial"/>
        <family val="2"/>
        <charset val="238"/>
      </rPr>
      <t xml:space="preserve"> → Pravdepodobné (66-90 % šanca)</t>
    </r>
  </si>
  <si>
    <r>
      <rPr>
        <b/>
        <sz val="11"/>
        <color theme="1"/>
        <rFont val="Calibri"/>
        <family val="2"/>
        <scheme val="minor"/>
      </rPr>
      <t>Kategória E</t>
    </r>
    <r>
      <rPr>
        <sz val="10"/>
        <rFont val="Arial"/>
        <family val="2"/>
        <charset val="238"/>
      </rPr>
      <t xml:space="preserve"> → Vysoko pravdepodobné (90-100 % šanca)</t>
    </r>
  </si>
  <si>
    <t xml:space="preserve">Zdroj: Metodická príručka k tvorbe analýz nákladov a prínosov (CBA), Operačný program Integrovaná infraštruktúra 2014-2020, Verzia 3.0
</t>
  </si>
  <si>
    <r>
      <rPr>
        <b/>
        <sz val="11"/>
        <color theme="1"/>
        <rFont val="Calibri"/>
        <family val="2"/>
        <scheme val="minor"/>
      </rPr>
      <t xml:space="preserve">Kategória I </t>
    </r>
    <r>
      <rPr>
        <sz val="10"/>
        <rFont val="Arial"/>
        <family val="2"/>
        <charset val="238"/>
      </rPr>
      <t>→ Žiadny relevantný vplyv na očakávané spoločenské prínosy projektu</t>
    </r>
  </si>
  <si>
    <r>
      <rPr>
        <b/>
        <sz val="11"/>
        <color theme="1"/>
        <rFont val="Calibri"/>
        <family val="2"/>
        <scheme val="minor"/>
      </rPr>
      <t>Kategória II</t>
    </r>
    <r>
      <rPr>
        <sz val="10"/>
        <rFont val="Arial"/>
        <family val="2"/>
        <charset val="238"/>
      </rPr>
      <t xml:space="preserve"> → Malá strata spoločenských prínosov projektu, nie sú ovplyvnené dlhodobé prínosy projektu, avšak nápravné opatrenie sú nutné</t>
    </r>
  </si>
  <si>
    <r>
      <rPr>
        <b/>
        <sz val="11"/>
        <color theme="1"/>
        <rFont val="Calibri"/>
        <family val="2"/>
        <scheme val="minor"/>
      </rPr>
      <t>Kategória III</t>
    </r>
    <r>
      <rPr>
        <sz val="10"/>
        <rFont val="Arial"/>
        <family val="2"/>
        <charset val="238"/>
      </rPr>
      <t xml:space="preserve"> → Stredná závažnosť vplyvu, strata očakávaných spoločenských prínosov projektu, väčšinou finančné, aj v strednodobom a dlhodobom horizonte, nápravné opatrenia môžu vyriešiť problém</t>
    </r>
  </si>
  <si>
    <r>
      <rPr>
        <b/>
        <sz val="11"/>
        <color theme="1"/>
        <rFont val="Calibri"/>
        <family val="2"/>
        <scheme val="minor"/>
      </rPr>
      <t>Kategória IV</t>
    </r>
    <r>
      <rPr>
        <sz val="10"/>
        <rFont val="Arial"/>
        <family val="2"/>
        <charset val="238"/>
      </rPr>
      <t xml:space="preserve"> → Kritický vplyv, veľká strata očakávaných spoločenských prínosov projektu, výskyt nežiaducej udalosti spôsobuje stratu primárnej funkčnosti projektu, nápravné opatrenia, aj keď realizované vo veľkom rozsahu, nepostačujú na to, aby sa predišlo významným škodám</t>
    </r>
  </si>
  <si>
    <r>
      <rPr>
        <b/>
        <sz val="11"/>
        <color theme="1"/>
        <rFont val="Calibri"/>
        <family val="2"/>
        <scheme val="minor"/>
      </rPr>
      <t>Kategória V</t>
    </r>
    <r>
      <rPr>
        <sz val="10"/>
        <rFont val="Arial"/>
        <family val="2"/>
        <charset val="238"/>
      </rPr>
      <t xml:space="preserve"> → Katastrofický vplyv, významná, až úplná strata funkčnosti projektu, ciele projektu sa nezrealizujú ani v dlhodobom horizonte</t>
    </r>
  </si>
  <si>
    <t>Pravdepodobnosť</t>
  </si>
  <si>
    <t>Kategória I</t>
  </si>
  <si>
    <t>Kategória II</t>
  </si>
  <si>
    <t>Kategória III</t>
  </si>
  <si>
    <t>Kategória IV</t>
  </si>
  <si>
    <t>Kategória V</t>
  </si>
  <si>
    <t xml:space="preserve">Kategória A </t>
  </si>
  <si>
    <t>Nízka</t>
  </si>
  <si>
    <t xml:space="preserve">Kategória B </t>
  </si>
  <si>
    <t>Vysoká</t>
  </si>
  <si>
    <t xml:space="preserve">Kategória C </t>
  </si>
  <si>
    <t xml:space="preserve">Kategória D </t>
  </si>
  <si>
    <t>Veľmi vysoká</t>
  </si>
  <si>
    <t xml:space="preserve">Kategória E </t>
  </si>
  <si>
    <t>Descriptives</t>
  </si>
  <si>
    <t/>
  </si>
  <si>
    <t>Statistic</t>
  </si>
  <si>
    <t>Std. Error</t>
  </si>
  <si>
    <t>FNPV_C</t>
  </si>
  <si>
    <t>Mean</t>
  </si>
  <si>
    <t>ENPV</t>
  </si>
  <si>
    <t>95% Confidence Interval for Mean</t>
  </si>
  <si>
    <t>Lower Bound</t>
  </si>
  <si>
    <t>Upper Bound</t>
  </si>
  <si>
    <t>5% Trimmed Mean</t>
  </si>
  <si>
    <t>Median</t>
  </si>
  <si>
    <t>Variance</t>
  </si>
  <si>
    <t>Std. Deviation</t>
  </si>
  <si>
    <t>Minimum</t>
  </si>
  <si>
    <t>Maximum</t>
  </si>
  <si>
    <t>Range</t>
  </si>
  <si>
    <t>Interquartile Range</t>
  </si>
  <si>
    <t>Skewness</t>
  </si>
  <si>
    <t>Kurtosis</t>
  </si>
  <si>
    <t>Pravdepodobnosť, že FNPV_C &lt;= 0</t>
  </si>
  <si>
    <t>Pravdepodobnosť, že ENPV &lt;= 0</t>
  </si>
  <si>
    <t>Pravdepodobnosť, že FNPV_C &gt;= 0</t>
  </si>
  <si>
    <t>Pravdepodobnosť, že ENPV &gt;= 0</t>
  </si>
  <si>
    <t>Z údajov získaných simuláciou Monte Carlo boli zrealizované aj ďalšie štatistické testy pravdepodobnosti a ich výsledky sú  znázornené v grafoch:</t>
  </si>
  <si>
    <t>Záver:</t>
  </si>
  <si>
    <t xml:space="preserve">Úspora času </t>
  </si>
  <si>
    <t>čiastočné benefity, od tohto roku je potrebné zohľadniť rozdielne vstupy pre scenár BEZ PROJEKTU a scenár S PROJEKTOM</t>
  </si>
  <si>
    <t>je projekt v plnej prevádzke, až od tohto roku je potrebné zohľadniť rozdielne vstupy pre scenár BEZ PROJEKTU a scenár S PROJEKTOM</t>
  </si>
  <si>
    <t>1.1 Investičné výdavky (EUR) - finančné (CÚ 2022)</t>
  </si>
  <si>
    <t>Rok uvedenia do plnej prevádzky</t>
  </si>
  <si>
    <t>Prevádzkové výdavky – bežné a pravidelné výdavky</t>
  </si>
  <si>
    <t>Prevádzkové výdavky – mzdové výdavky - zmena v %</t>
  </si>
  <si>
    <t>Prevádzkové výdavky – mzdové výdavky</t>
  </si>
  <si>
    <t>Prevádzkové výdavky – bežné a pravidelné výdavky - zmena v %</t>
  </si>
  <si>
    <t>Prevádzkové náklady - mzdové náklady</t>
  </si>
  <si>
    <t>Prevádzkové náklady - mzdové náklady - zmena v %</t>
  </si>
  <si>
    <t>Prevádzkové náklady – bežné a pravidelné náklady</t>
  </si>
  <si>
    <t>Prevádzkové náklady – bežné a pravidelné náklady - zmena v %</t>
  </si>
  <si>
    <t>Analýza dopytu a ponuky</t>
  </si>
  <si>
    <t>Zníženie úspory času v dôsledku realizácie projektu</t>
  </si>
  <si>
    <t xml:space="preserve">Čas cestujúcich
</t>
  </si>
  <si>
    <t>Nižšia úspora času vygenerovaná realizáciou projektu</t>
  </si>
  <si>
    <t>Zníženie úspory času zníži  benefity vygenerované projektom</t>
  </si>
  <si>
    <t>Využívanie maximálnach traťových rýchlostí dopravcami</t>
  </si>
  <si>
    <t>Zníženie počtu cestujúcich</t>
  </si>
  <si>
    <t>Nižší záujem cestujúcich o cestovanie železničnou dopravou</t>
  </si>
  <si>
    <t>Zníženie dopytu cestujúcich zníži  benefity vygenerované projektom</t>
  </si>
  <si>
    <t>Pri odhadoch vychádzať z čo najpresnejsích podkladov</t>
  </si>
  <si>
    <t>Verejné obstarávanie</t>
  </si>
  <si>
    <t>Zdržanie v procese verejného obstarávania
Nerealizovanie verejného obstarávania</t>
  </si>
  <si>
    <t xml:space="preserve">Všetky premenné </t>
  </si>
  <si>
    <t>Vyhlásenie verejného obstarávania v neskoršom termíne ako bolo plánované,
 Riešenie námietok účastníkov verejného obstarávania
Nevyhlásenie/zrušenie verejného obstarávania</t>
  </si>
  <si>
    <t>Oneskorenie začiatku a konca realizácie projektu 
Nerealizovanie projektu</t>
  </si>
  <si>
    <r>
      <t>V prípade výrazného zdržania pri procesoch VO hrozí neskorší nábeh socio-ekonomických benefitov projektu 
V prípade nerealizovania projektu m</t>
    </r>
    <r>
      <rPr>
        <sz val="9"/>
        <rFont val="Calibri"/>
        <family val="2"/>
      </rPr>
      <t>ô</t>
    </r>
    <r>
      <rPr>
        <sz val="9"/>
        <rFont val="Times New Roman"/>
        <family val="1"/>
      </rPr>
      <t>že dôjsť o ohrozeniu bezpečnosti prevádzky železničnej infraštruktúry</t>
    </r>
  </si>
  <si>
    <t>IV</t>
  </si>
  <si>
    <t xml:space="preserve">Adekvátna príprava a riadenie procesov verejného obstarávania
</t>
  </si>
  <si>
    <t>Nedodržanie rozpočtu projektu</t>
  </si>
  <si>
    <t>Investičné výdavky/náklady</t>
  </si>
  <si>
    <t>Nepredvídateľné okolnosti počas realizácie projektu
vyžadujúce dodatočné výdavky/náklady</t>
  </si>
  <si>
    <r>
      <t>Investičné výdavky/náklady vyššie ako p</t>
    </r>
    <r>
      <rPr>
        <sz val="9"/>
        <rFont val="Calibri"/>
        <family val="2"/>
      </rPr>
      <t>ô</t>
    </r>
    <r>
      <rPr>
        <sz val="9"/>
        <rFont val="Times New Roman"/>
        <family val="1"/>
      </rPr>
      <t>vodne zazmluvnené</t>
    </r>
  </si>
  <si>
    <t>Zhoršenie finančných a socio-ekonomických ukazovateľov projektu</t>
  </si>
  <si>
    <r>
      <t>D</t>
    </r>
    <r>
      <rPr>
        <sz val="9"/>
        <rFont val="Calibri"/>
        <family val="2"/>
      </rPr>
      <t>ô</t>
    </r>
    <r>
      <rPr>
        <sz val="9"/>
        <rFont val="Times New Roman"/>
        <family val="1"/>
      </rPr>
      <t xml:space="preserve">sledný projektový manažment
Kvalitne nastavené zmluvné vzťahy s budúcim  Dodávateľom </t>
    </r>
  </si>
  <si>
    <t xml:space="preserve">Nárast cien </t>
  </si>
  <si>
    <t>Vyššie výdavky/náklady na realizáciu stavby v dôsledku vojny na Ukrajine
Vyššie výdavky/náklady na realizáciu stavby v dôsledku nárastu cien</t>
  </si>
  <si>
    <t>Omeškanie realizácie projektu</t>
  </si>
  <si>
    <t xml:space="preserve">Predĺženie projekčnej fázy projektu
Predĺženie realizačnej fázy projektu
Dlhé dodacie doby materiálov potrebných pre projekt
</t>
  </si>
  <si>
    <t>Oneskorenie ukončenia realizácie projektu</t>
  </si>
  <si>
    <t>Neskoršie generovanie finančných a socio-ekonomických benefitov projektu</t>
  </si>
  <si>
    <t>Dôsledný projektový manažment</t>
  </si>
  <si>
    <t>Potreba urýchlenia realizácie projektu</t>
  </si>
  <si>
    <t>Potreba skoršieho ukončenia projektu</t>
  </si>
  <si>
    <t>Skoršie ukončenie projektu za cenu výrazného navýšenia kapacít Zhotoviteľa a tým pádom aj vyšších výdavkov/nákladov</t>
  </si>
  <si>
    <t>Realizovanie projektu v čo najskoršom termíne</t>
  </si>
  <si>
    <t>Úspory prevádzkových výdavkov nižšie ako predpokladané</t>
  </si>
  <si>
    <t>Prevádzkové výdavky/náklady</t>
  </si>
  <si>
    <t>Vyššie bežné a pravidelné prevádzkové výdavky/náklady po realizácií projektu
Vyššie mzdové výdavky/náklady po realizácií projektu</t>
  </si>
  <si>
    <t>Navýšenie prevádzkových výdavkov/nákladov projektu</t>
  </si>
  <si>
    <t>V</t>
  </si>
  <si>
    <t xml:space="preserve">Pri tvorbe scenárov vývoja prevádzkových výdavkov   je potrebné vychádzať z čo najpresnejších údajov 
</t>
  </si>
  <si>
    <t>Iné</t>
  </si>
  <si>
    <t>Neurčené</t>
  </si>
  <si>
    <r>
      <t>Možné komplikácie v riadení dopravy v d</t>
    </r>
    <r>
      <rPr>
        <sz val="9"/>
        <rFont val="Calibri"/>
        <family val="2"/>
      </rPr>
      <t>ô</t>
    </r>
    <r>
      <rPr>
        <sz val="9"/>
        <rFont val="Times New Roman"/>
        <family val="1"/>
      </rPr>
      <t xml:space="preserve">sledku nerealizovania modernizácie zabezpečovacích zariadení a DOT v úseku Kapušany při Prešove - Raslavice
Možné navýšenie cestovného času vlakov prechádzajúcich železničnou stanicou
</t>
    </r>
  </si>
  <si>
    <t xml:space="preserve">Zahrnutie úseku do projektu
</t>
  </si>
  <si>
    <t>Vznik úzkeho miesta v železničnej stanici Kapušany pri Prešove</t>
  </si>
  <si>
    <t>Zostatková hodnota by musela narásť o 40,22% aby bola hodnota FNPV/C &gt;=0. Ide o málo pravedpodobný scenár.</t>
  </si>
  <si>
    <t>Úspora prevádzkových výdavkov (mzdové výdavky) by musela narásť o 2,60% aby bola hodnota FNPV/C &gt;=0. Ide o vysoko rizikovú premennú.</t>
  </si>
  <si>
    <t>Úspora prevádzkových výdavkov (bežné a pravidelné výdavky) by musela narásť o 99,10% aby bola hodnota FNPV/C &gt;=0. Ide o nereálny scenár.</t>
  </si>
  <si>
    <t>Úspora prevádzkových nákladov (mzdové náklady) v socio-ekonomickej analýze by musela poklesnúť o 46,40% aby bola hodnota  ENPV &lt;= 0. Ide o málo pravdepodobný scenár.</t>
  </si>
  <si>
    <t>Počet cestujúcich v socio-ekonomickej analýze by musela poklesnúť o 70,50% aby bola hodnota  ENPV &lt;= 0. Ide o nepravdepodobný scenár.</t>
  </si>
  <si>
    <t>Úspora času v socio-ekonomickej analýze by musela poklesnúť o 70,50% aby bola hodnota  ENPV &lt;= 0. Ide o nepravdepodobný scenár.</t>
  </si>
  <si>
    <t>Zvýšenie investičných výdavkov o 15% oproti predpokladom</t>
  </si>
  <si>
    <t>Zníženie investičných výdavkov o 15% oproti predpokladom</t>
  </si>
  <si>
    <t>15% pokles úspory prevádzkových nákladov</t>
  </si>
  <si>
    <t>15% nárast úspory prevádzkových nákladov</t>
  </si>
  <si>
    <t>15% pokles prevádzkových príjmov</t>
  </si>
  <si>
    <t>15% nárast  prevádzkových príjmov</t>
  </si>
  <si>
    <t>15% nárast zostatkovej hodnoty
(v súvislosti so zmenou investičných výdavkov)</t>
  </si>
  <si>
    <t>15% pokles zostatkovej hodnoty
(v súvislosti so zmenou investičných výdavkov)</t>
  </si>
  <si>
    <t>15% pokles úspory času</t>
  </si>
  <si>
    <t>15% nárast úspory času</t>
  </si>
  <si>
    <t>Investičné výdavky by museli klesnúť o 2,20% aby bola hodnota FNPV/C &gt;=0. Ide o vysoko rizikovú premennú. V prípade investičných výdavkov je vo fáze prípravy verejného obstarávania  potrebné správne stanovenie PHZ.</t>
  </si>
  <si>
    <t>Investičné náklady v socio-ekonomickej analýze by museli narásť o 35,05% aby bola hodnota ENPV &lt;= 0. V prípade investičných nákladov je vo fáze prípravy verejného obstarávania  potrebné správne stanovenie PHZ.</t>
  </si>
  <si>
    <t>Je menej než polovičná pravdepodobnosť, že projekt splní podmienku FNPV_C &lt; 0 a FRR &lt; 4%.</t>
  </si>
  <si>
    <t xml:space="preserve">Je možné skonštatovať, že je približne 50% pravdepodobnosť, že FNPV/C bude menšia ako nula. </t>
  </si>
  <si>
    <t>Je veľmi pravdepodobné, že realizácia projektu so sebou prinesie pozitívne socio-ekonomické prínosy a že projekt splní podmienku ENPV &gt; 0 a ERR &gt; 5%.</t>
  </si>
  <si>
    <t xml:space="preserve">Je možné skonštatovať, že je približne 70% pravdepodobnosť, že ENPV bude väčšia ako nula. </t>
  </si>
  <si>
    <r>
      <t>Na základe realizovanej pravdepodobnostnej analýzy m</t>
    </r>
    <r>
      <rPr>
        <sz val="12"/>
        <rFont val="Calibri"/>
        <family val="2"/>
      </rPr>
      <t>ô</t>
    </r>
    <r>
      <rPr>
        <sz val="12"/>
        <rFont val="Arial"/>
        <family val="2"/>
      </rPr>
      <t>žeme skonštatovať, že je veľmi pravdepodobné, že projekt splní podmienku  ENPV &gt; 0 a ERR &gt; 5%.</t>
    </r>
  </si>
  <si>
    <t>Na základe realizovanej pravdepodobnostnej analýzy môžeme skonštatovať, že je  menej než polovičná pravdepodobnosť, že projekt splní podmienku FNPV_C &lt; 0 a FRR_C &lt;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</si>
</sst>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3" formatCode="_-* #,##0.00_-;\-* #,##0.00_-;_-* &quot;-&quot;??_-;_-@_-"/>
    <numFmt numFmtId="164" formatCode="#,##0_ ;[Red]\-#,##0\ "/>
    <numFmt numFmtId="165" formatCode="0.0"/>
    <numFmt numFmtId="166" formatCode="#,##0.0"/>
    <numFmt numFmtId="167" formatCode="0.0%"/>
    <numFmt numFmtId="168" formatCode="0.000"/>
    <numFmt numFmtId="169" formatCode="0.0000"/>
    <numFmt numFmtId="170" formatCode="#,##0.0000"/>
    <numFmt numFmtId="171" formatCode="#,##0.00_ ;[Red]\-#,##0.00\ "/>
    <numFmt numFmtId="172" formatCode="#,##0.00\ &quot;€&quot;"/>
    <numFmt numFmtId="173" formatCode="#,##0\ [$€-1]"/>
    <numFmt numFmtId="174" formatCode="0.00000"/>
    <numFmt numFmtId="175" formatCode="#,##0.000"/>
  </numFmts>
  <fonts count="144">
    <font>
      <sz val="10"/>
      <name val="Arial"/>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8"/>
      <name val="Arial"/>
      <family val="2"/>
      <charset val="238"/>
    </font>
    <font>
      <sz val="10"/>
      <name val="Arial"/>
      <family val="2"/>
      <charset val="238"/>
    </font>
    <font>
      <i/>
      <sz val="8"/>
      <name val="Arial"/>
      <family val="2"/>
      <charset val="238"/>
    </font>
    <font>
      <b/>
      <sz val="8"/>
      <name val="Arial"/>
      <family val="2"/>
      <charset val="238"/>
    </font>
    <font>
      <b/>
      <sz val="8"/>
      <name val="Arial"/>
      <family val="2"/>
    </font>
    <font>
      <i/>
      <sz val="8"/>
      <name val="Calibri"/>
      <family val="2"/>
      <charset val="238"/>
    </font>
    <font>
      <sz val="8"/>
      <name val="Calibri"/>
      <family val="2"/>
      <charset val="238"/>
    </font>
    <font>
      <sz val="8"/>
      <color indexed="8"/>
      <name val="Arial"/>
      <family val="2"/>
      <charset val="238"/>
    </font>
    <font>
      <sz val="8"/>
      <name val="Arial"/>
      <family val="2"/>
    </font>
    <font>
      <sz val="8"/>
      <color rgb="FF000000"/>
      <name val="Arial"/>
      <family val="2"/>
      <charset val="238"/>
    </font>
    <font>
      <i/>
      <sz val="8"/>
      <color rgb="FF000000"/>
      <name val="Calibri"/>
      <family val="2"/>
      <charset val="238"/>
    </font>
    <font>
      <sz val="8"/>
      <color rgb="FF000000"/>
      <name val="Arial"/>
      <family val="2"/>
    </font>
    <font>
      <sz val="10"/>
      <name val="Arial"/>
      <family val="2"/>
    </font>
    <font>
      <sz val="8"/>
      <color theme="0"/>
      <name val="Arial"/>
      <family val="2"/>
      <charset val="238"/>
    </font>
    <font>
      <sz val="8"/>
      <color theme="0" tint="-0.249977111117893"/>
      <name val="Arial"/>
      <family val="2"/>
      <charset val="238"/>
    </font>
    <font>
      <vertAlign val="subscript"/>
      <sz val="8"/>
      <name val="Arial"/>
      <family val="2"/>
      <charset val="238"/>
    </font>
    <font>
      <i/>
      <sz val="8"/>
      <color rgb="FF000000"/>
      <name val="Arial"/>
      <family val="2"/>
      <charset val="238"/>
    </font>
    <font>
      <b/>
      <vertAlign val="subscript"/>
      <sz val="8"/>
      <name val="Arial"/>
      <family val="2"/>
      <charset val="238"/>
    </font>
    <font>
      <vertAlign val="subscript"/>
      <sz val="8"/>
      <color rgb="FF000000"/>
      <name val="Arial"/>
      <family val="2"/>
      <charset val="238"/>
    </font>
    <font>
      <b/>
      <i/>
      <sz val="8"/>
      <name val="Arial"/>
      <family val="2"/>
      <charset val="238"/>
    </font>
    <font>
      <b/>
      <i/>
      <sz val="8"/>
      <color rgb="FF000000"/>
      <name val="Arial"/>
      <family val="2"/>
      <charset val="238"/>
    </font>
    <font>
      <sz val="8"/>
      <name val="Calibri"/>
      <family val="2"/>
      <charset val="238"/>
      <scheme val="minor"/>
    </font>
    <font>
      <sz val="8"/>
      <color theme="3"/>
      <name val="Arial"/>
      <family val="2"/>
      <charset val="238"/>
    </font>
    <font>
      <sz val="8"/>
      <color rgb="FFFF0000"/>
      <name val="Arial"/>
      <family val="2"/>
      <charset val="238"/>
    </font>
    <font>
      <sz val="8"/>
      <color rgb="FFFF0000"/>
      <name val="Calibri"/>
      <family val="2"/>
      <charset val="238"/>
      <scheme val="minor"/>
    </font>
    <font>
      <b/>
      <sz val="10"/>
      <name val="Arial"/>
      <family val="2"/>
      <charset val="238"/>
    </font>
    <font>
      <b/>
      <sz val="8"/>
      <color rgb="FF000000"/>
      <name val="Arial"/>
      <family val="2"/>
      <charset val="238"/>
    </font>
    <font>
      <b/>
      <sz val="22"/>
      <name val="Arial"/>
      <family val="2"/>
      <charset val="238"/>
    </font>
    <font>
      <b/>
      <sz val="8"/>
      <color rgb="FFFF0000"/>
      <name val="Arial"/>
      <family val="2"/>
      <charset val="238"/>
    </font>
    <font>
      <sz val="8"/>
      <color rgb="FF3399FF"/>
      <name val="Arial"/>
      <family val="2"/>
      <charset val="238"/>
    </font>
    <font>
      <sz val="10"/>
      <color theme="1"/>
      <name val="Arial"/>
      <family val="2"/>
      <charset val="238"/>
    </font>
    <font>
      <sz val="11"/>
      <color theme="1"/>
      <name val="Calibri"/>
      <family val="2"/>
      <scheme val="minor"/>
    </font>
    <font>
      <sz val="11"/>
      <color theme="1"/>
      <name val="Arial Narrow"/>
      <family val="2"/>
      <charset val="238"/>
    </font>
    <font>
      <sz val="11"/>
      <color indexed="8"/>
      <name val="Arial Narrow"/>
      <family val="2"/>
      <charset val="238"/>
    </font>
    <font>
      <i/>
      <sz val="12"/>
      <color theme="1"/>
      <name val="Times New Roman"/>
      <family val="1"/>
      <charset val="238"/>
    </font>
    <font>
      <i/>
      <sz val="12"/>
      <color theme="1"/>
      <name val="Arial Narrow"/>
      <family val="2"/>
      <charset val="238"/>
    </font>
    <font>
      <sz val="12"/>
      <color theme="1"/>
      <name val="Arial Narrow"/>
      <family val="2"/>
      <charset val="238"/>
    </font>
    <font>
      <sz val="12"/>
      <color theme="1"/>
      <name val="Times New Roman"/>
      <family val="1"/>
      <charset val="238"/>
    </font>
    <font>
      <b/>
      <sz val="14"/>
      <color theme="1"/>
      <name val="Times New Roman"/>
      <family val="1"/>
      <charset val="238"/>
    </font>
    <font>
      <sz val="14"/>
      <color theme="1"/>
      <name val="Arial Narrow"/>
      <family val="2"/>
      <charset val="238"/>
    </font>
    <font>
      <i/>
      <sz val="10"/>
      <color theme="1"/>
      <name val="Times New Roman"/>
      <family val="1"/>
    </font>
    <font>
      <i/>
      <sz val="12"/>
      <color theme="1"/>
      <name val="Times New Roman"/>
      <family val="1"/>
    </font>
    <font>
      <b/>
      <sz val="12"/>
      <color theme="1"/>
      <name val="Times New Roman"/>
      <family val="1"/>
      <charset val="238"/>
    </font>
    <font>
      <sz val="12"/>
      <name val="Times New Roman"/>
      <family val="1"/>
      <charset val="238"/>
    </font>
    <font>
      <sz val="12"/>
      <color theme="8"/>
      <name val="Times New Roman"/>
      <family val="1"/>
      <charset val="238"/>
    </font>
    <font>
      <i/>
      <sz val="12"/>
      <name val="Times New Roman"/>
      <family val="1"/>
      <charset val="238"/>
    </font>
    <font>
      <i/>
      <sz val="12"/>
      <color indexed="8"/>
      <name val="Times New Roman"/>
      <family val="1"/>
      <charset val="238"/>
    </font>
    <font>
      <i/>
      <sz val="12"/>
      <name val="Times New Roman"/>
      <family val="1"/>
    </font>
    <font>
      <b/>
      <sz val="12"/>
      <name val="Times New Roman"/>
      <family val="1"/>
      <charset val="238"/>
    </font>
    <font>
      <sz val="10"/>
      <name val="Calibri"/>
      <family val="2"/>
      <charset val="238"/>
      <scheme val="minor"/>
    </font>
    <font>
      <b/>
      <sz val="10"/>
      <name val="Calibri"/>
      <family val="2"/>
      <charset val="238"/>
      <scheme val="minor"/>
    </font>
    <font>
      <b/>
      <sz val="8"/>
      <name val="Calibri"/>
      <family val="2"/>
      <charset val="238"/>
      <scheme val="minor"/>
    </font>
    <font>
      <sz val="11"/>
      <color rgb="FFFF0000"/>
      <name val="Calibri"/>
      <family val="2"/>
      <charset val="238"/>
      <scheme val="minor"/>
    </font>
    <font>
      <b/>
      <sz val="11"/>
      <color theme="1"/>
      <name val="Calibri"/>
      <family val="2"/>
      <charset val="238"/>
      <scheme val="minor"/>
    </font>
    <font>
      <b/>
      <sz val="48"/>
      <color theme="1"/>
      <name val="Calibri"/>
      <family val="2"/>
      <charset val="238"/>
      <scheme val="minor"/>
    </font>
    <font>
      <sz val="8"/>
      <color theme="0" tint="-0.34998626667073579"/>
      <name val="Arial"/>
      <family val="2"/>
      <charset val="238"/>
    </font>
    <font>
      <b/>
      <sz val="8"/>
      <color theme="0" tint="-0.34998626667073579"/>
      <name val="Arial"/>
      <family val="2"/>
      <charset val="238"/>
    </font>
    <font>
      <b/>
      <sz val="18"/>
      <color theme="1"/>
      <name val="Calibri"/>
      <family val="2"/>
      <charset val="238"/>
      <scheme val="minor"/>
    </font>
    <font>
      <b/>
      <sz val="11"/>
      <color theme="1"/>
      <name val="Calibri"/>
      <family val="2"/>
      <scheme val="minor"/>
    </font>
    <font>
      <b/>
      <sz val="14"/>
      <color theme="1"/>
      <name val="Calibri"/>
      <family val="2"/>
      <scheme val="minor"/>
    </font>
    <font>
      <b/>
      <sz val="24"/>
      <color theme="1"/>
      <name val="Calibri"/>
      <family val="2"/>
      <scheme val="minor"/>
    </font>
    <font>
      <b/>
      <sz val="16"/>
      <color theme="1"/>
      <name val="Calibri"/>
      <family val="2"/>
      <scheme val="minor"/>
    </font>
    <font>
      <b/>
      <sz val="11"/>
      <color rgb="FF0070C0"/>
      <name val="Calibri"/>
      <family val="2"/>
      <charset val="238"/>
      <scheme val="minor"/>
    </font>
    <font>
      <b/>
      <sz val="11"/>
      <color rgb="FF7030A0"/>
      <name val="Calibri"/>
      <family val="2"/>
      <charset val="238"/>
      <scheme val="minor"/>
    </font>
    <font>
      <sz val="11"/>
      <color rgb="FF0070C0"/>
      <name val="Calibri"/>
      <family val="2"/>
      <charset val="238"/>
      <scheme val="minor"/>
    </font>
    <font>
      <sz val="11"/>
      <color rgb="FF7030A0"/>
      <name val="Calibri"/>
      <family val="2"/>
      <charset val="238"/>
      <scheme val="minor"/>
    </font>
    <font>
      <b/>
      <sz val="12"/>
      <color rgb="FFFF0000"/>
      <name val="Calibri"/>
      <family val="2"/>
      <charset val="238"/>
      <scheme val="minor"/>
    </font>
    <font>
      <b/>
      <sz val="12"/>
      <color rgb="FF0070C0"/>
      <name val="Calibri"/>
      <family val="2"/>
      <charset val="238"/>
      <scheme val="minor"/>
    </font>
    <font>
      <b/>
      <sz val="12"/>
      <color theme="1"/>
      <name val="Calibri"/>
      <family val="2"/>
      <charset val="238"/>
      <scheme val="minor"/>
    </font>
    <font>
      <b/>
      <sz val="16"/>
      <color theme="1"/>
      <name val="Calibri"/>
      <family val="2"/>
      <charset val="238"/>
      <scheme val="minor"/>
    </font>
    <font>
      <sz val="11"/>
      <name val="Calibri"/>
      <family val="2"/>
      <scheme val="minor"/>
    </font>
    <font>
      <sz val="11"/>
      <color rgb="FFFF0000"/>
      <name val="Calibri"/>
      <family val="2"/>
      <scheme val="minor"/>
    </font>
    <font>
      <b/>
      <sz val="14"/>
      <color theme="1"/>
      <name val="Calibri"/>
      <family val="2"/>
      <charset val="238"/>
      <scheme val="minor"/>
    </font>
    <font>
      <b/>
      <sz val="9"/>
      <name val="Arial"/>
      <family val="2"/>
      <charset val="238"/>
    </font>
    <font>
      <sz val="11"/>
      <color theme="1"/>
      <name val="Calibri"/>
      <family val="2"/>
      <charset val="238"/>
    </font>
    <font>
      <sz val="8"/>
      <color theme="1"/>
      <name val="Arial"/>
      <family val="2"/>
      <charset val="238"/>
    </font>
    <font>
      <sz val="11"/>
      <color theme="0" tint="-0.249977111117893"/>
      <name val="Calibri"/>
      <family val="2"/>
      <scheme val="minor"/>
    </font>
    <font>
      <b/>
      <sz val="9"/>
      <color indexed="81"/>
      <name val="Tahoma"/>
      <family val="2"/>
      <charset val="238"/>
    </font>
    <font>
      <sz val="9"/>
      <color indexed="81"/>
      <name val="Tahoma"/>
      <family val="2"/>
      <charset val="238"/>
    </font>
    <font>
      <b/>
      <i/>
      <u/>
      <sz val="11"/>
      <color indexed="81"/>
      <name val="Tahoma"/>
      <family val="2"/>
      <charset val="238"/>
    </font>
    <font>
      <b/>
      <sz val="9"/>
      <color rgb="FFFF0000"/>
      <name val="Arial"/>
      <family val="2"/>
      <charset val="238"/>
    </font>
    <font>
      <b/>
      <sz val="11"/>
      <color rgb="FFFF0000"/>
      <name val="Calibri"/>
      <family val="2"/>
      <scheme val="minor"/>
    </font>
    <font>
      <sz val="8"/>
      <color rgb="FFFF0000"/>
      <name val="Calibri"/>
      <family val="2"/>
      <scheme val="minor"/>
    </font>
    <font>
      <b/>
      <sz val="22"/>
      <color theme="1"/>
      <name val="Calibri"/>
      <family val="2"/>
      <charset val="238"/>
      <scheme val="minor"/>
    </font>
    <font>
      <b/>
      <sz val="12"/>
      <color indexed="8"/>
      <name val="Calibri"/>
      <family val="2"/>
      <charset val="238"/>
      <scheme val="minor"/>
    </font>
    <font>
      <sz val="26"/>
      <color theme="0" tint="-0.249977111117893"/>
      <name val="Calibri"/>
      <family val="2"/>
      <scheme val="minor"/>
    </font>
    <font>
      <sz val="10"/>
      <color theme="1"/>
      <name val="Calibri"/>
      <family val="2"/>
      <scheme val="minor"/>
    </font>
    <font>
      <b/>
      <sz val="10"/>
      <color theme="1"/>
      <name val="Calibri"/>
      <family val="2"/>
      <charset val="238"/>
      <scheme val="minor"/>
    </font>
    <font>
      <i/>
      <sz val="11"/>
      <color theme="1"/>
      <name val="Calibri"/>
      <family val="2"/>
      <charset val="238"/>
      <scheme val="minor"/>
    </font>
    <font>
      <sz val="10"/>
      <color theme="1"/>
      <name val="Calibri"/>
      <family val="2"/>
      <charset val="238"/>
      <scheme val="minor"/>
    </font>
    <font>
      <b/>
      <i/>
      <sz val="10"/>
      <color theme="1"/>
      <name val="Calibri"/>
      <family val="2"/>
      <charset val="238"/>
      <scheme val="minor"/>
    </font>
    <font>
      <sz val="11"/>
      <name val="Calibri"/>
      <family val="2"/>
      <charset val="238"/>
      <scheme val="minor"/>
    </font>
    <font>
      <b/>
      <sz val="11"/>
      <name val="Calibri"/>
      <family val="2"/>
      <charset val="238"/>
      <scheme val="minor"/>
    </font>
    <font>
      <i/>
      <sz val="10"/>
      <color theme="1"/>
      <name val="Calibri"/>
      <family val="2"/>
      <charset val="238"/>
      <scheme val="minor"/>
    </font>
    <font>
      <b/>
      <sz val="9"/>
      <color rgb="FF000000"/>
      <name val="Tahoma"/>
      <family val="2"/>
      <charset val="238"/>
    </font>
    <font>
      <sz val="9"/>
      <color rgb="FF000000"/>
      <name val="Tahoma"/>
      <family val="2"/>
      <charset val="238"/>
    </font>
    <font>
      <sz val="11"/>
      <color theme="0"/>
      <name val="Calibri"/>
      <family val="2"/>
      <scheme val="minor"/>
    </font>
    <font>
      <b/>
      <sz val="12"/>
      <name val="Calibri"/>
      <family val="2"/>
      <charset val="238"/>
      <scheme val="minor"/>
    </font>
    <font>
      <b/>
      <sz val="12"/>
      <color theme="9" tint="-0.249977111117893"/>
      <name val="Calibri"/>
      <family val="2"/>
      <charset val="238"/>
      <scheme val="minor"/>
    </font>
    <font>
      <b/>
      <sz val="12"/>
      <color rgb="FF7030A0"/>
      <name val="Calibri"/>
      <family val="2"/>
      <charset val="238"/>
      <scheme val="minor"/>
    </font>
    <font>
      <sz val="9"/>
      <color indexed="81"/>
      <name val="Tahoma"/>
      <family val="2"/>
    </font>
    <font>
      <sz val="12"/>
      <name val="Arial Narrow"/>
      <family val="2"/>
      <charset val="238"/>
    </font>
    <font>
      <sz val="14"/>
      <name val="Arial Narrow"/>
      <family val="2"/>
      <charset val="238"/>
    </font>
    <font>
      <i/>
      <sz val="10"/>
      <name val="Times New Roman"/>
      <family val="1"/>
    </font>
    <font>
      <b/>
      <sz val="11"/>
      <color theme="9" tint="-0.249977111117893"/>
      <name val="Calibri"/>
      <family val="2"/>
      <charset val="238"/>
      <scheme val="minor"/>
    </font>
    <font>
      <sz val="11"/>
      <color theme="9" tint="-0.249977111117893"/>
      <name val="Calibri"/>
      <family val="2"/>
      <charset val="238"/>
      <scheme val="minor"/>
    </font>
    <font>
      <sz val="11"/>
      <color rgb="FF7030A0"/>
      <name val="Calibri"/>
      <family val="2"/>
      <scheme val="minor"/>
    </font>
    <font>
      <strike/>
      <sz val="11"/>
      <color rgb="FFFFFF00"/>
      <name val="Calibri"/>
      <family val="2"/>
      <charset val="238"/>
      <scheme val="minor"/>
    </font>
    <font>
      <sz val="8"/>
      <color theme="1"/>
      <name val="Arial"/>
      <family val="2"/>
    </font>
    <font>
      <b/>
      <sz val="10"/>
      <name val="Times New Roman"/>
      <family val="1"/>
      <charset val="238"/>
    </font>
    <font>
      <b/>
      <sz val="11"/>
      <name val="Arial"/>
      <family val="2"/>
      <charset val="238"/>
    </font>
    <font>
      <b/>
      <sz val="12"/>
      <name val="Arial"/>
      <family val="2"/>
      <charset val="238"/>
    </font>
    <font>
      <b/>
      <sz val="9"/>
      <color rgb="FFFFFFFF"/>
      <name val="Times New Roman"/>
      <family val="1"/>
    </font>
    <font>
      <b/>
      <sz val="14"/>
      <name val="Times New Roman"/>
      <family val="1"/>
    </font>
    <font>
      <sz val="9"/>
      <name val="Times New Roman"/>
      <family val="1"/>
    </font>
    <font>
      <sz val="11"/>
      <name val="Times New Roman"/>
      <family val="1"/>
    </font>
    <font>
      <b/>
      <sz val="9"/>
      <name val="Times New Roman"/>
      <family val="1"/>
    </font>
    <font>
      <sz val="11"/>
      <color theme="1"/>
      <name val="Calibri"/>
      <family val="2"/>
    </font>
    <font>
      <sz val="10"/>
      <color rgb="FF000000"/>
      <name val="Calibri"/>
      <family val="2"/>
      <scheme val="minor"/>
    </font>
    <font>
      <sz val="8"/>
      <color theme="1"/>
      <name val="Calibri"/>
      <family val="2"/>
      <scheme val="minor"/>
    </font>
    <font>
      <b/>
      <sz val="12"/>
      <color indexed="8"/>
      <name val="Arial Bold"/>
    </font>
    <font>
      <sz val="9"/>
      <color indexed="8"/>
      <name val="Arial"/>
      <family val="2"/>
    </font>
    <font>
      <b/>
      <sz val="24"/>
      <color indexed="8"/>
      <name val="Arial"/>
      <family val="2"/>
    </font>
    <font>
      <b/>
      <sz val="9"/>
      <color indexed="8"/>
      <name val="Arial"/>
      <family val="2"/>
    </font>
    <font>
      <sz val="9"/>
      <name val="Arial"/>
      <family val="2"/>
      <charset val="238"/>
    </font>
    <font>
      <sz val="10"/>
      <color rgb="FFFF0000"/>
      <name val="Arial"/>
      <family val="2"/>
      <charset val="238"/>
    </font>
    <font>
      <sz val="9"/>
      <name val="Arial"/>
      <family val="2"/>
    </font>
    <font>
      <sz val="10"/>
      <color rgb="FFFF0000"/>
      <name val="Arial"/>
      <family val="2"/>
    </font>
    <font>
      <b/>
      <sz val="20"/>
      <name val="Arial"/>
      <family val="2"/>
    </font>
    <font>
      <b/>
      <sz val="16"/>
      <name val="Arial"/>
      <family val="2"/>
    </font>
    <font>
      <sz val="12"/>
      <name val="Arial"/>
      <family val="2"/>
      <charset val="238"/>
    </font>
    <font>
      <b/>
      <sz val="9"/>
      <color indexed="81"/>
      <name val="Tahoma"/>
      <family val="2"/>
    </font>
    <font>
      <sz val="9"/>
      <name val="Times New Roman"/>
      <family val="1"/>
      <charset val="238"/>
    </font>
    <font>
      <sz val="9"/>
      <name val="Calibri"/>
      <family val="2"/>
    </font>
    <font>
      <sz val="11"/>
      <color indexed="8"/>
      <name val="Calibri"/>
      <family val="2"/>
      <charset val="238"/>
    </font>
    <font>
      <sz val="12"/>
      <name val="Calibri"/>
      <family val="2"/>
    </font>
    <font>
      <sz val="12"/>
      <name val="Arial"/>
      <family val="2"/>
    </font>
  </fonts>
  <fills count="26">
    <fill>
      <patternFill patternType="none"/>
    </fill>
    <fill>
      <patternFill patternType="gray125"/>
    </fill>
    <fill>
      <patternFill patternType="solid">
        <fgColor indexed="44"/>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rgb="FFFFFF66"/>
        <bgColor indexed="64"/>
      </patternFill>
    </fill>
    <fill>
      <patternFill patternType="solid">
        <fgColor rgb="FFFFFF00"/>
        <bgColor indexed="64"/>
      </patternFill>
    </fill>
    <fill>
      <patternFill patternType="solid">
        <fgColor rgb="FF92D050"/>
        <bgColor indexed="64"/>
      </patternFill>
    </fill>
    <fill>
      <patternFill patternType="solid">
        <fgColor theme="1"/>
        <bgColor indexed="64"/>
      </patternFill>
    </fill>
    <fill>
      <patternFill patternType="solid">
        <fgColor theme="0" tint="-0.34998626667073579"/>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rgb="FFFC8174"/>
        <bgColor indexed="64"/>
      </patternFill>
    </fill>
    <fill>
      <patternFill patternType="solid">
        <fgColor rgb="FF3399FF"/>
        <bgColor indexed="64"/>
      </patternFill>
    </fill>
    <fill>
      <patternFill patternType="solid">
        <fgColor theme="0" tint="-0.249977111117893"/>
        <bgColor indexed="64"/>
      </patternFill>
    </fill>
    <fill>
      <patternFill patternType="solid">
        <fgColor rgb="FFFF0000"/>
        <bgColor indexed="64"/>
      </patternFill>
    </fill>
    <fill>
      <patternFill patternType="darkDown">
        <bgColor rgb="FF00B050"/>
      </patternFill>
    </fill>
    <fill>
      <patternFill patternType="solid">
        <fgColor rgb="FF0070C0"/>
        <bgColor indexed="64"/>
      </patternFill>
    </fill>
    <fill>
      <patternFill patternType="solid">
        <fgColor rgb="FFC00000"/>
        <bgColor indexed="64"/>
      </patternFill>
    </fill>
  </fills>
  <borders count="10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auto="1"/>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diagonalUp="1" diagonalDown="1">
      <left/>
      <right/>
      <top/>
      <bottom style="medium">
        <color indexed="64"/>
      </bottom>
      <diagonal style="thin">
        <color indexed="64"/>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style="medium">
        <color indexed="64"/>
      </top>
      <bottom/>
      <diagonal/>
    </border>
    <border>
      <left style="thin">
        <color auto="1"/>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medium">
        <color indexed="64"/>
      </left>
      <right style="medium">
        <color indexed="64"/>
      </right>
      <top style="medium">
        <color indexed="64"/>
      </top>
      <bottom style="thin">
        <color indexed="8"/>
      </bottom>
      <diagonal/>
    </border>
    <border>
      <left style="medium">
        <color indexed="64"/>
      </left>
      <right/>
      <top style="medium">
        <color indexed="64"/>
      </top>
      <bottom style="thin">
        <color indexed="8"/>
      </bottom>
      <diagonal/>
    </border>
    <border>
      <left/>
      <right style="medium">
        <color indexed="64"/>
      </right>
      <top style="medium">
        <color indexed="64"/>
      </top>
      <bottom style="thin">
        <color indexed="8"/>
      </bottom>
      <diagonal/>
    </border>
    <border>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medium">
        <color indexed="64"/>
      </right>
      <top/>
      <bottom/>
      <diagonal/>
    </border>
    <border>
      <left style="medium">
        <color indexed="64"/>
      </left>
      <right/>
      <top/>
      <bottom style="thin">
        <color indexed="8"/>
      </bottom>
      <diagonal/>
    </border>
    <border>
      <left/>
      <right style="thin">
        <color indexed="8"/>
      </right>
      <top/>
      <bottom/>
      <diagonal/>
    </border>
    <border>
      <left style="thin">
        <color indexed="8"/>
      </left>
      <right style="medium">
        <color indexed="64"/>
      </right>
      <top/>
      <bottom/>
      <diagonal/>
    </border>
    <border>
      <left/>
      <right style="medium">
        <color indexed="64"/>
      </right>
      <top/>
      <bottom style="thin">
        <color indexed="8"/>
      </bottom>
      <diagonal/>
    </border>
    <border>
      <left/>
      <right style="thin">
        <color indexed="8"/>
      </right>
      <top/>
      <bottom style="medium">
        <color indexed="64"/>
      </bottom>
      <diagonal/>
    </border>
    <border>
      <left style="thin">
        <color indexed="8"/>
      </left>
      <right style="medium">
        <color indexed="64"/>
      </right>
      <top/>
      <bottom style="medium">
        <color indexed="64"/>
      </bottom>
      <diagonal/>
    </border>
    <border>
      <left style="thin">
        <color indexed="64"/>
      </left>
      <right style="medium">
        <color indexed="64"/>
      </right>
      <top/>
      <bottom/>
      <diagonal/>
    </border>
  </borders>
  <cellStyleXfs count="32">
    <xf numFmtId="0" fontId="0" fillId="0" borderId="0"/>
    <xf numFmtId="0" fontId="8" fillId="0" borderId="0"/>
    <xf numFmtId="9" fontId="6" fillId="0" borderId="0" applyFont="0" applyFill="0" applyBorder="0" applyAlignment="0" applyProtection="0"/>
    <xf numFmtId="0" fontId="5" fillId="0" borderId="0"/>
    <xf numFmtId="0" fontId="19" fillId="0" borderId="0"/>
    <xf numFmtId="0" fontId="6" fillId="0" borderId="0"/>
    <xf numFmtId="0" fontId="4" fillId="0" borderId="0"/>
    <xf numFmtId="0" fontId="19" fillId="0" borderId="0"/>
    <xf numFmtId="0" fontId="6" fillId="0" borderId="0"/>
    <xf numFmtId="0" fontId="38" fillId="0" borderId="0"/>
    <xf numFmtId="0" fontId="37" fillId="0" borderId="0"/>
    <xf numFmtId="0" fontId="4" fillId="0" borderId="0"/>
    <xf numFmtId="9" fontId="38" fillId="0" borderId="0" applyFont="0" applyFill="0" applyBorder="0" applyAlignment="0" applyProtection="0"/>
    <xf numFmtId="0" fontId="6" fillId="0" borderId="0"/>
    <xf numFmtId="0" fontId="39" fillId="0" borderId="0"/>
    <xf numFmtId="9" fontId="39" fillId="0" borderId="0" applyFont="0" applyFill="0" applyBorder="0" applyAlignment="0" applyProtection="0"/>
    <xf numFmtId="0" fontId="6" fillId="0" borderId="0"/>
    <xf numFmtId="0" fontId="6" fillId="0" borderId="0"/>
    <xf numFmtId="9" fontId="40" fillId="0" borderId="0" applyFont="0" applyFill="0" applyBorder="0" applyAlignment="0" applyProtection="0"/>
    <xf numFmtId="0" fontId="38" fillId="0" borderId="0"/>
    <xf numFmtId="0" fontId="38" fillId="0" borderId="0"/>
    <xf numFmtId="0" fontId="38" fillId="0" borderId="0"/>
    <xf numFmtId="43" fontId="38" fillId="0" borderId="0" applyFont="0" applyFill="0" applyBorder="0" applyAlignment="0" applyProtection="0"/>
    <xf numFmtId="0" fontId="3" fillId="0" borderId="0"/>
    <xf numFmtId="0" fontId="2" fillId="0" borderId="0"/>
    <xf numFmtId="0" fontId="6" fillId="0" borderId="0"/>
    <xf numFmtId="9" fontId="6" fillId="0" borderId="0" applyFont="0" applyFill="0" applyBorder="0" applyAlignment="0" applyProtection="0"/>
    <xf numFmtId="0" fontId="38" fillId="0" borderId="0"/>
    <xf numFmtId="0" fontId="19" fillId="0" borderId="0"/>
    <xf numFmtId="0" fontId="19" fillId="0" borderId="0"/>
    <xf numFmtId="0" fontId="1" fillId="0" borderId="0"/>
    <xf numFmtId="0" fontId="141" fillId="0" borderId="0"/>
  </cellStyleXfs>
  <cellXfs count="1187">
    <xf numFmtId="0" fontId="0" fillId="0" borderId="0" xfId="0"/>
    <xf numFmtId="0" fontId="9" fillId="0" borderId="0" xfId="0" applyFont="1"/>
    <xf numFmtId="0" fontId="7" fillId="0" borderId="0" xfId="0" applyFont="1"/>
    <xf numFmtId="0" fontId="7" fillId="0" borderId="1" xfId="0" applyFont="1" applyBorder="1"/>
    <xf numFmtId="0" fontId="10" fillId="0" borderId="1" xfId="0" applyFont="1" applyBorder="1"/>
    <xf numFmtId="0" fontId="9" fillId="0" borderId="1" xfId="0" applyFont="1" applyBorder="1"/>
    <xf numFmtId="0" fontId="10" fillId="3" borderId="1" xfId="0" applyFont="1" applyFill="1" applyBorder="1"/>
    <xf numFmtId="0" fontId="9" fillId="3" borderId="1" xfId="0" applyFont="1" applyFill="1" applyBorder="1"/>
    <xf numFmtId="3" fontId="7" fillId="0" borderId="1" xfId="0" applyNumberFormat="1" applyFont="1" applyBorder="1"/>
    <xf numFmtId="3" fontId="7" fillId="2" borderId="1" xfId="0" applyNumberFormat="1" applyFont="1" applyFill="1" applyBorder="1"/>
    <xf numFmtId="0" fontId="10" fillId="0" borderId="1" xfId="0" applyFont="1" applyBorder="1" applyAlignment="1">
      <alignment wrapText="1"/>
    </xf>
    <xf numFmtId="3" fontId="10" fillId="0" borderId="1" xfId="0" applyNumberFormat="1" applyFont="1" applyBorder="1" applyAlignment="1">
      <alignment wrapText="1"/>
    </xf>
    <xf numFmtId="0" fontId="7" fillId="0" borderId="0" xfId="0" applyFont="1" applyAlignment="1">
      <alignment wrapText="1"/>
    </xf>
    <xf numFmtId="3" fontId="10" fillId="0" borderId="1" xfId="0" applyNumberFormat="1" applyFont="1" applyBorder="1"/>
    <xf numFmtId="3" fontId="7" fillId="0" borderId="0" xfId="0" applyNumberFormat="1" applyFont="1"/>
    <xf numFmtId="0" fontId="10" fillId="0" borderId="0" xfId="0" applyFont="1"/>
    <xf numFmtId="0" fontId="7" fillId="0" borderId="1" xfId="0" applyFont="1" applyBorder="1" applyAlignment="1">
      <alignment horizontal="left"/>
    </xf>
    <xf numFmtId="0" fontId="7" fillId="0" borderId="1" xfId="0" applyFont="1" applyBorder="1" applyAlignment="1">
      <alignment horizontal="center" wrapText="1"/>
    </xf>
    <xf numFmtId="0" fontId="7" fillId="0" borderId="1" xfId="0" applyFont="1" applyBorder="1" applyAlignment="1">
      <alignment horizontal="center"/>
    </xf>
    <xf numFmtId="0" fontId="9" fillId="0" borderId="0" xfId="0" applyFont="1" applyAlignment="1">
      <alignment horizontal="left"/>
    </xf>
    <xf numFmtId="0" fontId="7" fillId="3" borderId="1" xfId="0" applyFont="1" applyFill="1" applyBorder="1"/>
    <xf numFmtId="0" fontId="10" fillId="0" borderId="2" xfId="0" applyFont="1" applyBorder="1"/>
    <xf numFmtId="3" fontId="10" fillId="0" borderId="2" xfId="0" applyNumberFormat="1" applyFont="1" applyBorder="1"/>
    <xf numFmtId="0" fontId="10" fillId="0" borderId="3" xfId="0" applyFont="1" applyBorder="1"/>
    <xf numFmtId="3" fontId="10" fillId="0" borderId="3" xfId="0" applyNumberFormat="1" applyFont="1" applyBorder="1"/>
    <xf numFmtId="9" fontId="7" fillId="0" borderId="1" xfId="2" applyFont="1" applyFill="1" applyBorder="1"/>
    <xf numFmtId="164" fontId="7" fillId="0" borderId="0" xfId="0" applyNumberFormat="1" applyFont="1"/>
    <xf numFmtId="0" fontId="7" fillId="0" borderId="4" xfId="0" applyFont="1" applyBorder="1"/>
    <xf numFmtId="0" fontId="7" fillId="0" borderId="2" xfId="0" applyFont="1" applyBorder="1"/>
    <xf numFmtId="3" fontId="7" fillId="0" borderId="2" xfId="0" applyNumberFormat="1" applyFont="1" applyBorder="1"/>
    <xf numFmtId="3" fontId="7" fillId="2" borderId="2" xfId="0" applyNumberFormat="1" applyFont="1" applyFill="1" applyBorder="1"/>
    <xf numFmtId="0" fontId="10" fillId="4" borderId="1" xfId="0" applyFont="1" applyFill="1" applyBorder="1"/>
    <xf numFmtId="3" fontId="7" fillId="5" borderId="1" xfId="0" applyNumberFormat="1" applyFont="1" applyFill="1" applyBorder="1"/>
    <xf numFmtId="0" fontId="7" fillId="0" borderId="3" xfId="0" applyFont="1" applyBorder="1"/>
    <xf numFmtId="0" fontId="7" fillId="0" borderId="0" xfId="1" applyFont="1"/>
    <xf numFmtId="0" fontId="7" fillId="0" borderId="1" xfId="1" applyFont="1" applyBorder="1"/>
    <xf numFmtId="0" fontId="10" fillId="0" borderId="1" xfId="1" applyFont="1" applyBorder="1"/>
    <xf numFmtId="0" fontId="9" fillId="0" borderId="1" xfId="1" applyFont="1" applyBorder="1"/>
    <xf numFmtId="0" fontId="10" fillId="3" borderId="1" xfId="1" applyFont="1" applyFill="1" applyBorder="1"/>
    <xf numFmtId="0" fontId="9" fillId="3" borderId="1" xfId="1" applyFont="1" applyFill="1" applyBorder="1"/>
    <xf numFmtId="0" fontId="10" fillId="0" borderId="0" xfId="1" applyFont="1"/>
    <xf numFmtId="164" fontId="7" fillId="0" borderId="1" xfId="1" applyNumberFormat="1" applyFont="1" applyBorder="1"/>
    <xf numFmtId="2" fontId="10" fillId="3" borderId="1" xfId="1" applyNumberFormat="1" applyFont="1" applyFill="1" applyBorder="1" applyAlignment="1">
      <alignment horizontal="center" wrapText="1"/>
    </xf>
    <xf numFmtId="0" fontId="7" fillId="0" borderId="4" xfId="1" applyFont="1" applyBorder="1"/>
    <xf numFmtId="3" fontId="10" fillId="0" borderId="0" xfId="0" applyNumberFormat="1" applyFont="1"/>
    <xf numFmtId="0" fontId="7" fillId="2" borderId="1" xfId="0" applyFont="1" applyFill="1" applyBorder="1"/>
    <xf numFmtId="9" fontId="7" fillId="0" borderId="3" xfId="0" applyNumberFormat="1" applyFont="1" applyBorder="1" applyAlignment="1">
      <alignment horizontal="center" vertical="center"/>
    </xf>
    <xf numFmtId="9"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12" fillId="0" borderId="0" xfId="0" applyFont="1" applyAlignment="1">
      <alignment vertical="center"/>
    </xf>
    <xf numFmtId="0" fontId="13" fillId="0" borderId="0" xfId="0" applyFont="1"/>
    <xf numFmtId="0" fontId="17" fillId="0" borderId="0" xfId="0" applyFont="1" applyAlignment="1">
      <alignment vertical="center" wrapText="1"/>
    </xf>
    <xf numFmtId="0" fontId="7" fillId="0" borderId="1" xfId="0" applyFont="1" applyBorder="1" applyAlignment="1">
      <alignment horizontal="left" vertical="center"/>
    </xf>
    <xf numFmtId="4" fontId="7" fillId="0" borderId="3" xfId="0" applyNumberFormat="1" applyFont="1" applyBorder="1" applyAlignment="1">
      <alignment horizontal="center" vertical="center"/>
    </xf>
    <xf numFmtId="4" fontId="7" fillId="0" borderId="1" xfId="0" applyNumberFormat="1" applyFont="1" applyBorder="1" applyAlignment="1">
      <alignment horizontal="center" vertical="center"/>
    </xf>
    <xf numFmtId="0" fontId="15" fillId="0" borderId="1" xfId="0" applyFont="1" applyBorder="1"/>
    <xf numFmtId="0" fontId="18" fillId="0" borderId="1" xfId="0" applyFont="1" applyBorder="1" applyAlignment="1">
      <alignment horizontal="left" vertical="center" wrapText="1"/>
    </xf>
    <xf numFmtId="0" fontId="7" fillId="0" borderId="4" xfId="0" applyFont="1" applyBorder="1" applyAlignment="1">
      <alignment horizontal="center"/>
    </xf>
    <xf numFmtId="9" fontId="7" fillId="0" borderId="4" xfId="2" applyFont="1" applyBorder="1" applyAlignment="1">
      <alignment horizontal="center"/>
    </xf>
    <xf numFmtId="0" fontId="7" fillId="7" borderId="10" xfId="0" applyFont="1" applyFill="1" applyBorder="1"/>
    <xf numFmtId="0" fontId="7" fillId="7" borderId="12" xfId="0" applyFont="1" applyFill="1" applyBorder="1"/>
    <xf numFmtId="0" fontId="7" fillId="7" borderId="11" xfId="0" applyFont="1" applyFill="1" applyBorder="1"/>
    <xf numFmtId="0" fontId="7" fillId="7" borderId="13" xfId="0" applyFont="1" applyFill="1" applyBorder="1"/>
    <xf numFmtId="0" fontId="7" fillId="7" borderId="0" xfId="0" applyFont="1" applyFill="1"/>
    <xf numFmtId="0" fontId="7" fillId="7" borderId="14" xfId="0" applyFont="1" applyFill="1" applyBorder="1"/>
    <xf numFmtId="0" fontId="7" fillId="7" borderId="15" xfId="0" applyFont="1" applyFill="1" applyBorder="1"/>
    <xf numFmtId="0" fontId="7" fillId="7" borderId="16" xfId="0" applyFont="1" applyFill="1" applyBorder="1"/>
    <xf numFmtId="0" fontId="7" fillId="7" borderId="17" xfId="0" applyFont="1" applyFill="1" applyBorder="1"/>
    <xf numFmtId="0" fontId="7" fillId="0" borderId="3" xfId="0" applyFont="1" applyBorder="1" applyAlignment="1">
      <alignment horizontal="left" vertical="center"/>
    </xf>
    <xf numFmtId="0" fontId="7" fillId="0" borderId="1" xfId="0" applyFont="1" applyBorder="1" applyAlignment="1">
      <alignment horizontal="left" vertical="center" wrapText="1"/>
    </xf>
    <xf numFmtId="167" fontId="16" fillId="0" borderId="1" xfId="0" applyNumberFormat="1" applyFont="1" applyBorder="1" applyAlignment="1">
      <alignment horizontal="center" vertical="center"/>
    </xf>
    <xf numFmtId="0" fontId="11" fillId="8" borderId="1" xfId="0" applyFont="1" applyFill="1" applyBorder="1" applyAlignment="1">
      <alignment horizontal="center" vertical="center"/>
    </xf>
    <xf numFmtId="0" fontId="20" fillId="0" borderId="0" xfId="0" applyFont="1"/>
    <xf numFmtId="167" fontId="7" fillId="0" borderId="1" xfId="0" applyNumberFormat="1" applyFont="1" applyBorder="1" applyAlignment="1">
      <alignment horizontal="center" vertical="center"/>
    </xf>
    <xf numFmtId="167" fontId="21" fillId="0" borderId="0" xfId="0" applyNumberFormat="1" applyFont="1"/>
    <xf numFmtId="9" fontId="7" fillId="0" borderId="1" xfId="0" applyNumberFormat="1" applyFont="1" applyBorder="1" applyAlignment="1">
      <alignment horizontal="center"/>
    </xf>
    <xf numFmtId="0" fontId="10" fillId="8" borderId="18" xfId="0" applyFont="1" applyFill="1" applyBorder="1" applyAlignment="1">
      <alignment horizontal="center" vertical="center"/>
    </xf>
    <xf numFmtId="0" fontId="10" fillId="8" borderId="19" xfId="0" applyFont="1" applyFill="1" applyBorder="1" applyAlignment="1">
      <alignment horizontal="center" vertical="center"/>
    </xf>
    <xf numFmtId="0" fontId="10" fillId="8" borderId="4" xfId="0" applyFont="1" applyFill="1" applyBorder="1" applyAlignment="1">
      <alignment horizontal="center" vertical="center"/>
    </xf>
    <xf numFmtId="168" fontId="7" fillId="6" borderId="1" xfId="0" applyNumberFormat="1" applyFont="1" applyFill="1" applyBorder="1" applyAlignment="1">
      <alignment horizontal="center"/>
    </xf>
    <xf numFmtId="168" fontId="7" fillId="0" borderId="1" xfId="0" applyNumberFormat="1" applyFont="1" applyBorder="1" applyAlignment="1">
      <alignment horizontal="center"/>
    </xf>
    <xf numFmtId="2" fontId="7" fillId="0" borderId="3" xfId="0" applyNumberFormat="1" applyFont="1" applyBorder="1" applyAlignment="1">
      <alignment horizontal="center" vertical="center"/>
    </xf>
    <xf numFmtId="2" fontId="7" fillId="0" borderId="1" xfId="0" applyNumberFormat="1" applyFont="1" applyBorder="1" applyAlignment="1">
      <alignment horizontal="center" vertical="center"/>
    </xf>
    <xf numFmtId="9" fontId="11" fillId="8" borderId="1" xfId="0" applyNumberFormat="1" applyFont="1" applyFill="1" applyBorder="1" applyAlignment="1">
      <alignment horizontal="center" vertical="center"/>
    </xf>
    <xf numFmtId="0" fontId="10" fillId="6" borderId="1" xfId="0" applyFont="1" applyFill="1" applyBorder="1" applyAlignment="1">
      <alignment horizontal="center" vertical="center"/>
    </xf>
    <xf numFmtId="168" fontId="7" fillId="0" borderId="3" xfId="0" applyNumberFormat="1" applyFont="1" applyBorder="1" applyAlignment="1">
      <alignment horizontal="center" vertical="center"/>
    </xf>
    <xf numFmtId="168" fontId="7" fillId="0" borderId="1" xfId="0" applyNumberFormat="1" applyFont="1" applyBorder="1" applyAlignment="1">
      <alignment horizontal="center" vertical="center"/>
    </xf>
    <xf numFmtId="165" fontId="7" fillId="0" borderId="3" xfId="0" applyNumberFormat="1" applyFont="1" applyBorder="1" applyAlignment="1">
      <alignment horizontal="center" vertical="center"/>
    </xf>
    <xf numFmtId="165" fontId="7" fillId="0" borderId="1" xfId="0" applyNumberFormat="1" applyFont="1" applyBorder="1" applyAlignment="1">
      <alignment horizontal="center" vertical="center"/>
    </xf>
    <xf numFmtId="0" fontId="7" fillId="0" borderId="0" xfId="0" applyFont="1" applyAlignment="1">
      <alignment horizontal="center"/>
    </xf>
    <xf numFmtId="167" fontId="14" fillId="0" borderId="1" xfId="2" applyNumberFormat="1" applyFont="1" applyBorder="1" applyAlignment="1">
      <alignment horizontal="center" vertical="center"/>
    </xf>
    <xf numFmtId="1" fontId="7" fillId="0" borderId="1" xfId="0" applyNumberFormat="1" applyFont="1" applyBorder="1" applyAlignment="1">
      <alignment horizontal="center" vertical="center"/>
    </xf>
    <xf numFmtId="165" fontId="7" fillId="0" borderId="1" xfId="0" applyNumberFormat="1" applyFont="1" applyBorder="1" applyAlignment="1">
      <alignment horizontal="center"/>
    </xf>
    <xf numFmtId="0" fontId="11" fillId="6" borderId="1" xfId="0" applyFont="1" applyFill="1" applyBorder="1" applyAlignment="1">
      <alignment horizontal="center" vertical="center" wrapText="1"/>
    </xf>
    <xf numFmtId="0" fontId="11" fillId="6" borderId="1" xfId="0" applyFont="1" applyFill="1" applyBorder="1" applyAlignment="1">
      <alignment horizontal="center" vertical="center"/>
    </xf>
    <xf numFmtId="0" fontId="15" fillId="0" borderId="3" xfId="0" applyFont="1" applyBorder="1"/>
    <xf numFmtId="0" fontId="10" fillId="6" borderId="1" xfId="0" applyFont="1" applyFill="1" applyBorder="1" applyAlignment="1">
      <alignment horizontal="left" vertical="center"/>
    </xf>
    <xf numFmtId="0" fontId="11" fillId="6" borderId="1" xfId="0" applyFont="1" applyFill="1" applyBorder="1" applyAlignment="1">
      <alignment horizontal="left" vertical="center" wrapText="1"/>
    </xf>
    <xf numFmtId="168" fontId="15" fillId="0" borderId="3" xfId="0" applyNumberFormat="1" applyFont="1" applyBorder="1" applyAlignment="1">
      <alignment horizontal="center" vertical="center"/>
    </xf>
    <xf numFmtId="168" fontId="15" fillId="0" borderId="1" xfId="0" applyNumberFormat="1" applyFont="1" applyBorder="1" applyAlignment="1">
      <alignment horizontal="center" vertical="center"/>
    </xf>
    <xf numFmtId="0" fontId="11" fillId="0" borderId="0" xfId="0" applyFont="1" applyAlignment="1">
      <alignment horizontal="center" vertical="center" wrapText="1"/>
    </xf>
    <xf numFmtId="0" fontId="18" fillId="0" borderId="0" xfId="0" applyFont="1" applyAlignment="1">
      <alignment horizontal="center" vertical="center"/>
    </xf>
    <xf numFmtId="0" fontId="18" fillId="0" borderId="1" xfId="0" applyFont="1" applyBorder="1" applyAlignment="1">
      <alignment vertical="center" wrapText="1"/>
    </xf>
    <xf numFmtId="168" fontId="18" fillId="0" borderId="1" xfId="0" applyNumberFormat="1" applyFont="1" applyBorder="1" applyAlignment="1">
      <alignment horizontal="center" vertical="center"/>
    </xf>
    <xf numFmtId="3" fontId="15" fillId="0" borderId="1" xfId="0" applyNumberFormat="1" applyFont="1" applyBorder="1" applyAlignment="1">
      <alignment horizontal="center"/>
    </xf>
    <xf numFmtId="0" fontId="7" fillId="6" borderId="1" xfId="0" applyFont="1" applyFill="1" applyBorder="1" applyAlignment="1">
      <alignment horizontal="center" vertical="center" wrapText="1"/>
    </xf>
    <xf numFmtId="0" fontId="7" fillId="6" borderId="1" xfId="0" applyFont="1" applyFill="1" applyBorder="1" applyAlignment="1">
      <alignment horizontal="center" vertical="center"/>
    </xf>
    <xf numFmtId="166" fontId="15" fillId="0" borderId="1" xfId="0" applyNumberFormat="1" applyFont="1" applyBorder="1" applyAlignment="1">
      <alignment horizontal="center"/>
    </xf>
    <xf numFmtId="0" fontId="18" fillId="0" borderId="0" xfId="0" applyFont="1" applyAlignment="1">
      <alignment horizontal="left" vertical="center" wrapText="1"/>
    </xf>
    <xf numFmtId="168" fontId="18" fillId="0" borderId="0" xfId="0" applyNumberFormat="1" applyFont="1" applyAlignment="1">
      <alignment horizontal="center" vertical="center"/>
    </xf>
    <xf numFmtId="168" fontId="7" fillId="0" borderId="0" xfId="0" applyNumberFormat="1" applyFont="1" applyAlignment="1">
      <alignment horizontal="center" vertical="center"/>
    </xf>
    <xf numFmtId="0" fontId="7" fillId="0" borderId="0" xfId="0" applyFont="1" applyAlignment="1">
      <alignment horizontal="center" vertical="center"/>
    </xf>
    <xf numFmtId="1" fontId="18" fillId="0" borderId="1" xfId="0" applyNumberFormat="1" applyFont="1" applyBorder="1" applyAlignment="1">
      <alignment horizontal="center" vertical="center"/>
    </xf>
    <xf numFmtId="3" fontId="18" fillId="0" borderId="1" xfId="0" applyNumberFormat="1" applyFont="1" applyBorder="1" applyAlignment="1">
      <alignment horizontal="center" vertical="center"/>
    </xf>
    <xf numFmtId="2" fontId="18" fillId="0" borderId="1" xfId="0" applyNumberFormat="1" applyFont="1" applyBorder="1" applyAlignment="1">
      <alignment horizontal="center" vertical="center"/>
    </xf>
    <xf numFmtId="0" fontId="23" fillId="0" borderId="0" xfId="0" applyFont="1" applyAlignment="1">
      <alignment horizontal="left" vertical="center" wrapText="1"/>
    </xf>
    <xf numFmtId="170" fontId="15" fillId="0" borderId="1" xfId="0" applyNumberFormat="1" applyFont="1" applyBorder="1" applyAlignment="1">
      <alignment horizontal="center"/>
    </xf>
    <xf numFmtId="3" fontId="20" fillId="0" borderId="0" xfId="0" applyNumberFormat="1" applyFont="1"/>
    <xf numFmtId="170" fontId="20" fillId="0" borderId="0" xfId="0" applyNumberFormat="1" applyFont="1"/>
    <xf numFmtId="166" fontId="20" fillId="0" borderId="0" xfId="0" applyNumberFormat="1" applyFont="1"/>
    <xf numFmtId="0" fontId="26" fillId="0" borderId="0" xfId="0" applyFont="1" applyAlignment="1">
      <alignment horizontal="left"/>
    </xf>
    <xf numFmtId="0" fontId="27" fillId="0" borderId="0" xfId="0" applyFont="1" applyAlignment="1">
      <alignment horizontal="left" vertical="center"/>
    </xf>
    <xf numFmtId="0" fontId="23" fillId="0" borderId="0" xfId="0" applyFont="1" applyAlignment="1">
      <alignment horizontal="left" vertical="center"/>
    </xf>
    <xf numFmtId="0" fontId="27" fillId="0" borderId="0" xfId="0" applyFont="1" applyAlignment="1">
      <alignment horizontal="justify" vertical="center"/>
    </xf>
    <xf numFmtId="0" fontId="26" fillId="0" borderId="0" xfId="0" applyFont="1"/>
    <xf numFmtId="0" fontId="9" fillId="0" borderId="1" xfId="0" applyFont="1" applyBorder="1" applyAlignment="1">
      <alignment horizontal="right"/>
    </xf>
    <xf numFmtId="3" fontId="9" fillId="0" borderId="1" xfId="0" applyNumberFormat="1" applyFont="1" applyBorder="1"/>
    <xf numFmtId="3" fontId="9" fillId="2" borderId="1" xfId="0" applyNumberFormat="1" applyFont="1" applyFill="1" applyBorder="1"/>
    <xf numFmtId="0" fontId="28" fillId="0" borderId="0" xfId="0" applyFont="1"/>
    <xf numFmtId="0" fontId="29" fillId="0" borderId="1" xfId="0" applyFont="1" applyBorder="1"/>
    <xf numFmtId="3" fontId="29" fillId="0" borderId="1" xfId="0" applyNumberFormat="1" applyFont="1" applyBorder="1"/>
    <xf numFmtId="3" fontId="29" fillId="2" borderId="1" xfId="0" applyNumberFormat="1" applyFont="1" applyFill="1" applyBorder="1"/>
    <xf numFmtId="0" fontId="7" fillId="3" borderId="1" xfId="0" applyFont="1" applyFill="1" applyBorder="1" applyAlignment="1">
      <alignment horizontal="center"/>
    </xf>
    <xf numFmtId="0" fontId="7" fillId="2" borderId="1" xfId="0" applyFont="1" applyFill="1" applyBorder="1" applyAlignment="1">
      <alignment horizontal="center"/>
    </xf>
    <xf numFmtId="1" fontId="7" fillId="0" borderId="1" xfId="0" applyNumberFormat="1" applyFont="1" applyBorder="1" applyAlignment="1">
      <alignment horizontal="center" vertical="center" wrapText="1"/>
    </xf>
    <xf numFmtId="3" fontId="7" fillId="0" borderId="3" xfId="0" applyNumberFormat="1" applyFont="1" applyBorder="1"/>
    <xf numFmtId="3" fontId="7" fillId="4" borderId="1" xfId="0" applyNumberFormat="1" applyFont="1" applyFill="1" applyBorder="1"/>
    <xf numFmtId="3" fontId="7" fillId="4" borderId="2" xfId="0" applyNumberFormat="1" applyFont="1" applyFill="1" applyBorder="1"/>
    <xf numFmtId="3" fontId="7" fillId="4" borderId="3" xfId="0" applyNumberFormat="1" applyFont="1" applyFill="1" applyBorder="1"/>
    <xf numFmtId="3" fontId="7" fillId="0" borderId="4" xfId="0" applyNumberFormat="1" applyFont="1" applyBorder="1"/>
    <xf numFmtId="0" fontId="10" fillId="4" borderId="5" xfId="0" applyFont="1" applyFill="1" applyBorder="1"/>
    <xf numFmtId="0" fontId="7" fillId="5" borderId="1" xfId="0" applyFont="1" applyFill="1" applyBorder="1"/>
    <xf numFmtId="164" fontId="7" fillId="0" borderId="1" xfId="0" applyNumberFormat="1" applyFont="1" applyBorder="1"/>
    <xf numFmtId="164" fontId="7" fillId="0" borderId="2" xfId="0" applyNumberFormat="1" applyFont="1" applyBorder="1"/>
    <xf numFmtId="164" fontId="7" fillId="0" borderId="3" xfId="0" applyNumberFormat="1" applyFont="1" applyBorder="1"/>
    <xf numFmtId="164" fontId="7" fillId="0" borderId="5" xfId="0" applyNumberFormat="1" applyFont="1" applyBorder="1"/>
    <xf numFmtId="164" fontId="7" fillId="2" borderId="1" xfId="0" applyNumberFormat="1" applyFont="1" applyFill="1" applyBorder="1"/>
    <xf numFmtId="164" fontId="7" fillId="2" borderId="1" xfId="1" applyNumberFormat="1" applyFont="1" applyFill="1" applyBorder="1"/>
    <xf numFmtId="0" fontId="10" fillId="6" borderId="1" xfId="0" applyFont="1" applyFill="1" applyBorder="1" applyAlignment="1">
      <alignment horizontal="center" vertical="center" wrapText="1"/>
    </xf>
    <xf numFmtId="0" fontId="11" fillId="8" borderId="1" xfId="0" applyFont="1" applyFill="1" applyBorder="1" applyAlignment="1">
      <alignment horizontal="center" vertical="center" wrapText="1"/>
    </xf>
    <xf numFmtId="0" fontId="21" fillId="0" borderId="0" xfId="0" applyFont="1"/>
    <xf numFmtId="3" fontId="7" fillId="3" borderId="1" xfId="0" applyNumberFormat="1" applyFont="1" applyFill="1" applyBorder="1"/>
    <xf numFmtId="3" fontId="7" fillId="3" borderId="4" xfId="0" applyNumberFormat="1" applyFont="1" applyFill="1" applyBorder="1"/>
    <xf numFmtId="0" fontId="7" fillId="3" borderId="4" xfId="0" applyFont="1" applyFill="1" applyBorder="1"/>
    <xf numFmtId="0" fontId="30" fillId="0" borderId="0" xfId="0" applyFont="1"/>
    <xf numFmtId="3" fontId="10" fillId="4" borderId="3" xfId="0" applyNumberFormat="1" applyFont="1" applyFill="1" applyBorder="1"/>
    <xf numFmtId="0" fontId="10" fillId="9" borderId="1" xfId="0" applyFont="1" applyFill="1" applyBorder="1" applyAlignment="1">
      <alignment horizontal="center" vertical="center"/>
    </xf>
    <xf numFmtId="0" fontId="10" fillId="9" borderId="1" xfId="0" applyFont="1" applyFill="1" applyBorder="1" applyAlignment="1">
      <alignment horizontal="center" vertical="center" wrapText="1"/>
    </xf>
    <xf numFmtId="0" fontId="7" fillId="9" borderId="1" xfId="0" applyFont="1" applyFill="1" applyBorder="1"/>
    <xf numFmtId="0" fontId="11" fillId="9" borderId="1" xfId="0" applyFont="1" applyFill="1" applyBorder="1" applyAlignment="1">
      <alignment horizontal="center" vertical="center"/>
    </xf>
    <xf numFmtId="0" fontId="11" fillId="9" borderId="1" xfId="0" applyFont="1" applyFill="1" applyBorder="1" applyAlignment="1">
      <alignment horizontal="center" vertical="center" wrapText="1"/>
    </xf>
    <xf numFmtId="0" fontId="16" fillId="0" borderId="1" xfId="0" applyFont="1" applyBorder="1" applyAlignment="1">
      <alignment vertical="center"/>
    </xf>
    <xf numFmtId="3" fontId="16" fillId="0" borderId="1" xfId="0" applyNumberFormat="1" applyFont="1" applyBorder="1" applyAlignment="1">
      <alignment horizontal="right" vertical="center"/>
    </xf>
    <xf numFmtId="3" fontId="16" fillId="0" borderId="1" xfId="0" applyNumberFormat="1" applyFont="1" applyBorder="1" applyAlignment="1">
      <alignment horizontal="right" vertical="center" wrapText="1"/>
    </xf>
    <xf numFmtId="0" fontId="7" fillId="0" borderId="1" xfId="0" applyFont="1" applyBorder="1" applyAlignment="1">
      <alignment vertical="center"/>
    </xf>
    <xf numFmtId="3" fontId="7" fillId="0" borderId="1" xfId="0" applyNumberFormat="1" applyFont="1" applyBorder="1" applyAlignment="1">
      <alignment horizontal="right" vertical="center"/>
    </xf>
    <xf numFmtId="3" fontId="7" fillId="0" borderId="1" xfId="0" applyNumberFormat="1" applyFont="1" applyBorder="1" applyAlignment="1">
      <alignment horizontal="right" vertical="center" wrapText="1"/>
    </xf>
    <xf numFmtId="0" fontId="10" fillId="9" borderId="1" xfId="0" applyFont="1" applyFill="1" applyBorder="1" applyAlignment="1">
      <alignment vertical="center" wrapText="1"/>
    </xf>
    <xf numFmtId="3" fontId="16" fillId="0" borderId="1" xfId="0" applyNumberFormat="1" applyFont="1" applyBorder="1" applyAlignment="1">
      <alignment vertical="center"/>
    </xf>
    <xf numFmtId="3" fontId="16" fillId="0" borderId="1" xfId="0" applyNumberFormat="1" applyFont="1" applyBorder="1" applyAlignment="1">
      <alignment vertical="center" wrapText="1"/>
    </xf>
    <xf numFmtId="0" fontId="10" fillId="9" borderId="1" xfId="0" applyFont="1" applyFill="1" applyBorder="1" applyAlignment="1">
      <alignment horizontal="left" vertical="center" wrapText="1"/>
    </xf>
    <xf numFmtId="0" fontId="10" fillId="9" borderId="1" xfId="0" applyFont="1" applyFill="1" applyBorder="1" applyAlignment="1">
      <alignment horizontal="left" vertical="center"/>
    </xf>
    <xf numFmtId="3" fontId="7" fillId="0" borderId="1" xfId="0" applyNumberFormat="1" applyFont="1" applyBorder="1" applyAlignment="1">
      <alignment horizontal="center" vertical="center" wrapText="1"/>
    </xf>
    <xf numFmtId="3" fontId="7" fillId="0" borderId="1" xfId="0" applyNumberFormat="1" applyFont="1" applyBorder="1" applyAlignment="1">
      <alignment vertical="center"/>
    </xf>
    <xf numFmtId="3" fontId="7" fillId="0" borderId="1" xfId="0" applyNumberFormat="1" applyFont="1" applyBorder="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horizontal="right" vertical="center" wrapText="1"/>
    </xf>
    <xf numFmtId="0" fontId="11" fillId="9" borderId="1" xfId="0" applyFont="1" applyFill="1" applyBorder="1" applyAlignment="1">
      <alignment horizontal="left" vertical="center"/>
    </xf>
    <xf numFmtId="0" fontId="11" fillId="9" borderId="1" xfId="0" applyFont="1" applyFill="1" applyBorder="1" applyAlignment="1">
      <alignment horizontal="left" vertical="center" wrapText="1"/>
    </xf>
    <xf numFmtId="4" fontId="7" fillId="0" borderId="1" xfId="0" applyNumberFormat="1" applyFont="1" applyBorder="1" applyAlignment="1">
      <alignment horizontal="center" vertical="center" wrapText="1"/>
    </xf>
    <xf numFmtId="2" fontId="7" fillId="0" borderId="1" xfId="0" applyNumberFormat="1" applyFont="1" applyBorder="1" applyAlignment="1">
      <alignment horizontal="center" vertical="center" wrapText="1"/>
    </xf>
    <xf numFmtId="0" fontId="7" fillId="0" borderId="1" xfId="0" applyFont="1" applyBorder="1" applyAlignment="1">
      <alignment horizontal="right" vertical="center"/>
    </xf>
    <xf numFmtId="165" fontId="7" fillId="0" borderId="1" xfId="0" applyNumberFormat="1" applyFont="1" applyBorder="1" applyAlignment="1">
      <alignment horizontal="right" vertical="center"/>
    </xf>
    <xf numFmtId="165" fontId="7" fillId="0" borderId="1" xfId="0" applyNumberFormat="1" applyFont="1" applyBorder="1" applyAlignment="1">
      <alignment horizontal="right" vertical="center" wrapText="1"/>
    </xf>
    <xf numFmtId="0" fontId="10" fillId="6" borderId="1" xfId="0" applyFont="1" applyFill="1" applyBorder="1" applyAlignment="1">
      <alignment vertical="center"/>
    </xf>
    <xf numFmtId="166" fontId="15" fillId="5" borderId="1" xfId="0" applyNumberFormat="1" applyFont="1" applyFill="1" applyBorder="1" applyAlignment="1">
      <alignment horizontal="center"/>
    </xf>
    <xf numFmtId="0" fontId="10" fillId="5" borderId="1" xfId="0" applyFont="1" applyFill="1" applyBorder="1" applyAlignment="1">
      <alignment horizontal="left" vertical="center" wrapText="1"/>
    </xf>
    <xf numFmtId="0" fontId="10" fillId="5" borderId="1" xfId="0" applyFont="1" applyFill="1" applyBorder="1" applyAlignment="1">
      <alignment horizontal="center" vertical="center" wrapText="1"/>
    </xf>
    <xf numFmtId="0" fontId="10" fillId="5" borderId="1" xfId="0" applyFont="1" applyFill="1" applyBorder="1" applyAlignment="1">
      <alignment horizontal="center" vertical="center"/>
    </xf>
    <xf numFmtId="0" fontId="11" fillId="5" borderId="1" xfId="0" applyFont="1" applyFill="1" applyBorder="1" applyAlignment="1">
      <alignment horizontal="left" vertical="center" wrapText="1"/>
    </xf>
    <xf numFmtId="0" fontId="10" fillId="5" borderId="1" xfId="0" applyFont="1" applyFill="1" applyBorder="1" applyAlignment="1">
      <alignment vertical="center"/>
    </xf>
    <xf numFmtId="0" fontId="10" fillId="5" borderId="1" xfId="0" applyFont="1" applyFill="1" applyBorder="1" applyAlignment="1">
      <alignment vertical="center" wrapText="1"/>
    </xf>
    <xf numFmtId="0" fontId="10" fillId="5" borderId="5" xfId="0" applyFont="1" applyFill="1" applyBorder="1" applyAlignment="1">
      <alignment horizontal="center" vertical="center" wrapText="1"/>
    </xf>
    <xf numFmtId="0" fontId="10" fillId="5" borderId="3" xfId="0" applyFont="1" applyFill="1" applyBorder="1" applyAlignment="1">
      <alignment vertical="center" wrapText="1"/>
    </xf>
    <xf numFmtId="0" fontId="10" fillId="5" borderId="1" xfId="0" applyFont="1" applyFill="1" applyBorder="1" applyAlignment="1">
      <alignment horizontal="center" vertical="top" wrapText="1"/>
    </xf>
    <xf numFmtId="0" fontId="10" fillId="5" borderId="5" xfId="0" applyFont="1" applyFill="1" applyBorder="1" applyAlignment="1">
      <alignment horizontal="center" vertical="top" wrapText="1"/>
    </xf>
    <xf numFmtId="0" fontId="11" fillId="8" borderId="1" xfId="0" applyFont="1" applyFill="1" applyBorder="1" applyAlignment="1">
      <alignment horizontal="left" vertical="center" wrapText="1"/>
    </xf>
    <xf numFmtId="0" fontId="34" fillId="0" borderId="0" xfId="0" applyFont="1"/>
    <xf numFmtId="0" fontId="10" fillId="5" borderId="1" xfId="0" applyFont="1" applyFill="1" applyBorder="1"/>
    <xf numFmtId="3" fontId="10" fillId="9" borderId="6" xfId="0" applyNumberFormat="1" applyFont="1" applyFill="1" applyBorder="1"/>
    <xf numFmtId="3" fontId="7" fillId="5" borderId="8" xfId="0" applyNumberFormat="1" applyFont="1" applyFill="1" applyBorder="1"/>
    <xf numFmtId="3" fontId="10" fillId="5" borderId="6" xfId="0" applyNumberFormat="1" applyFont="1" applyFill="1" applyBorder="1"/>
    <xf numFmtId="3" fontId="7" fillId="9" borderId="9" xfId="0" applyNumberFormat="1" applyFont="1" applyFill="1" applyBorder="1"/>
    <xf numFmtId="3" fontId="10" fillId="9" borderId="1" xfId="0" applyNumberFormat="1" applyFont="1" applyFill="1" applyBorder="1"/>
    <xf numFmtId="10" fontId="7" fillId="5" borderId="1" xfId="2" applyNumberFormat="1" applyFont="1" applyFill="1" applyBorder="1"/>
    <xf numFmtId="164" fontId="7" fillId="5" borderId="1" xfId="0" applyNumberFormat="1" applyFont="1" applyFill="1" applyBorder="1"/>
    <xf numFmtId="3" fontId="10" fillId="9" borderId="4" xfId="0" applyNumberFormat="1" applyFont="1" applyFill="1" applyBorder="1"/>
    <xf numFmtId="164" fontId="10" fillId="9" borderId="1" xfId="0" applyNumberFormat="1" applyFont="1" applyFill="1" applyBorder="1"/>
    <xf numFmtId="164" fontId="10" fillId="9" borderId="7" xfId="0" applyNumberFormat="1" applyFont="1" applyFill="1" applyBorder="1"/>
    <xf numFmtId="9" fontId="11" fillId="9" borderId="1" xfId="0" applyNumberFormat="1" applyFont="1" applyFill="1" applyBorder="1" applyAlignment="1">
      <alignment horizontal="center" vertical="center"/>
    </xf>
    <xf numFmtId="164" fontId="10" fillId="5" borderId="1" xfId="1" applyNumberFormat="1" applyFont="1" applyFill="1" applyBorder="1"/>
    <xf numFmtId="165" fontId="7" fillId="0" borderId="1" xfId="0" applyNumberFormat="1" applyFont="1" applyBorder="1" applyAlignment="1">
      <alignment horizontal="center" vertical="center" wrapText="1"/>
    </xf>
    <xf numFmtId="0" fontId="10" fillId="5" borderId="1" xfId="1" applyFont="1" applyFill="1" applyBorder="1"/>
    <xf numFmtId="0" fontId="35" fillId="0" borderId="0" xfId="0" applyFont="1" applyAlignment="1">
      <alignment horizontal="right"/>
    </xf>
    <xf numFmtId="0" fontId="35" fillId="0" borderId="0" xfId="0" applyFont="1" applyAlignment="1">
      <alignment horizontal="center"/>
    </xf>
    <xf numFmtId="0" fontId="35" fillId="0" borderId="0" xfId="0" applyFont="1"/>
    <xf numFmtId="38" fontId="7" fillId="0" borderId="1" xfId="0" applyNumberFormat="1" applyFont="1" applyBorder="1"/>
    <xf numFmtId="38" fontId="7" fillId="5" borderId="1" xfId="0" applyNumberFormat="1" applyFont="1" applyFill="1" applyBorder="1"/>
    <xf numFmtId="38" fontId="10" fillId="0" borderId="1" xfId="0" applyNumberFormat="1" applyFont="1" applyBorder="1"/>
    <xf numFmtId="38" fontId="10" fillId="4" borderId="5" xfId="0" applyNumberFormat="1" applyFont="1" applyFill="1" applyBorder="1"/>
    <xf numFmtId="38" fontId="7" fillId="2" borderId="1" xfId="0" applyNumberFormat="1" applyFont="1" applyFill="1" applyBorder="1"/>
    <xf numFmtId="38" fontId="10" fillId="4" borderId="1" xfId="0" applyNumberFormat="1" applyFont="1" applyFill="1" applyBorder="1"/>
    <xf numFmtId="0" fontId="9" fillId="0" borderId="0" xfId="0" applyFont="1" applyAlignment="1">
      <alignment vertical="center"/>
    </xf>
    <xf numFmtId="0" fontId="9" fillId="0" borderId="0" xfId="4" applyFont="1"/>
    <xf numFmtId="169" fontId="16" fillId="0" borderId="1" xfId="0" applyNumberFormat="1" applyFont="1" applyBorder="1" applyAlignment="1">
      <alignment horizontal="center" vertical="center"/>
    </xf>
    <xf numFmtId="0" fontId="43" fillId="0" borderId="0" xfId="14" applyFont="1"/>
    <xf numFmtId="0" fontId="44" fillId="0" borderId="0" xfId="14" applyFont="1"/>
    <xf numFmtId="0" fontId="46" fillId="0" borderId="0" xfId="14" applyFont="1"/>
    <xf numFmtId="0" fontId="44" fillId="0" borderId="22" xfId="14" applyFont="1" applyBorder="1" applyAlignment="1">
      <alignment horizontal="center"/>
    </xf>
    <xf numFmtId="0" fontId="44" fillId="0" borderId="19" xfId="14" applyFont="1" applyBorder="1" applyAlignment="1">
      <alignment horizontal="right"/>
    </xf>
    <xf numFmtId="0" fontId="44" fillId="0" borderId="22" xfId="14" applyFont="1" applyBorder="1" applyAlignment="1">
      <alignment horizontal="right"/>
    </xf>
    <xf numFmtId="0" fontId="44" fillId="0" borderId="18" xfId="14" applyFont="1" applyBorder="1" applyAlignment="1">
      <alignment horizontal="right"/>
    </xf>
    <xf numFmtId="0" fontId="44" fillId="0" borderId="18" xfId="14" applyFont="1" applyBorder="1" applyAlignment="1">
      <alignment horizontal="right" vertical="center"/>
    </xf>
    <xf numFmtId="0" fontId="44" fillId="0" borderId="23" xfId="14" applyFont="1" applyBorder="1" applyAlignment="1">
      <alignment horizontal="center"/>
    </xf>
    <xf numFmtId="0" fontId="44" fillId="0" borderId="24" xfId="14" applyFont="1" applyBorder="1" applyAlignment="1">
      <alignment horizontal="right"/>
    </xf>
    <xf numFmtId="0" fontId="44" fillId="0" borderId="0" xfId="14" applyFont="1" applyAlignment="1">
      <alignment horizontal="center"/>
    </xf>
    <xf numFmtId="0" fontId="44" fillId="0" borderId="24" xfId="14" applyFont="1" applyBorder="1" applyAlignment="1">
      <alignment horizontal="center"/>
    </xf>
    <xf numFmtId="0" fontId="44" fillId="0" borderId="25" xfId="14" applyFont="1" applyBorder="1" applyAlignment="1">
      <alignment horizontal="center"/>
    </xf>
    <xf numFmtId="0" fontId="44" fillId="0" borderId="26" xfId="14" applyFont="1" applyBorder="1" applyAlignment="1">
      <alignment horizontal="center"/>
    </xf>
    <xf numFmtId="0" fontId="47" fillId="0" borderId="25" xfId="14" applyFont="1" applyBorder="1" applyAlignment="1">
      <alignment horizontal="center"/>
    </xf>
    <xf numFmtId="0" fontId="47" fillId="0" borderId="21" xfId="14" applyFont="1" applyBorder="1" applyAlignment="1">
      <alignment horizontal="center"/>
    </xf>
    <xf numFmtId="0" fontId="47" fillId="0" borderId="26" xfId="14" applyFont="1" applyBorder="1" applyAlignment="1">
      <alignment horizontal="center"/>
    </xf>
    <xf numFmtId="0" fontId="48" fillId="0" borderId="22" xfId="14" applyFont="1" applyBorder="1" applyAlignment="1">
      <alignment horizontal="center"/>
    </xf>
    <xf numFmtId="0" fontId="48" fillId="0" borderId="18" xfId="14" applyFont="1" applyBorder="1" applyAlignment="1">
      <alignment horizontal="center"/>
    </xf>
    <xf numFmtId="0" fontId="48" fillId="0" borderId="19" xfId="14" applyFont="1" applyBorder="1" applyAlignment="1">
      <alignment horizontal="center"/>
    </xf>
    <xf numFmtId="0" fontId="49" fillId="7" borderId="24" xfId="14" applyFont="1" applyFill="1" applyBorder="1"/>
    <xf numFmtId="0" fontId="48" fillId="0" borderId="23" xfId="14" applyFont="1" applyBorder="1" applyAlignment="1">
      <alignment horizontal="center"/>
    </xf>
    <xf numFmtId="0" fontId="48" fillId="0" borderId="0" xfId="14" applyFont="1" applyAlignment="1">
      <alignment horizontal="center"/>
    </xf>
    <xf numFmtId="0" fontId="48" fillId="0" borderId="24" xfId="14" applyFont="1" applyBorder="1" applyAlignment="1">
      <alignment horizontal="center"/>
    </xf>
    <xf numFmtId="0" fontId="44" fillId="0" borderId="23" xfId="14" applyFont="1" applyBorder="1" applyAlignment="1">
      <alignment horizontal="center" vertical="center"/>
    </xf>
    <xf numFmtId="0" fontId="50" fillId="0" borderId="24" xfId="14" applyFont="1" applyBorder="1"/>
    <xf numFmtId="165" fontId="44" fillId="0" borderId="23" xfId="14" applyNumberFormat="1" applyFont="1" applyBorder="1" applyAlignment="1">
      <alignment horizontal="center"/>
    </xf>
    <xf numFmtId="165" fontId="44" fillId="0" borderId="0" xfId="14" applyNumberFormat="1" applyFont="1" applyAlignment="1">
      <alignment horizontal="center"/>
    </xf>
    <xf numFmtId="165" fontId="44" fillId="0" borderId="24" xfId="14" applyNumberFormat="1" applyFont="1" applyBorder="1" applyAlignment="1">
      <alignment horizontal="center"/>
    </xf>
    <xf numFmtId="0" fontId="44" fillId="0" borderId="24" xfId="14" applyFont="1" applyBorder="1"/>
    <xf numFmtId="165" fontId="50" fillId="0" borderId="23" xfId="14" applyNumberFormat="1" applyFont="1" applyBorder="1" applyAlignment="1">
      <alignment horizontal="center"/>
    </xf>
    <xf numFmtId="165" fontId="50" fillId="0" borderId="0" xfId="14" applyNumberFormat="1" applyFont="1" applyAlignment="1">
      <alignment horizontal="center"/>
    </xf>
    <xf numFmtId="165" fontId="50" fillId="0" borderId="24" xfId="14" applyNumberFormat="1" applyFont="1" applyBorder="1" applyAlignment="1">
      <alignment horizontal="center"/>
    </xf>
    <xf numFmtId="165" fontId="44" fillId="0" borderId="25" xfId="14" applyNumberFormat="1" applyFont="1" applyBorder="1" applyAlignment="1">
      <alignment horizontal="center"/>
    </xf>
    <xf numFmtId="165" fontId="44" fillId="0" borderId="21" xfId="14" applyNumberFormat="1" applyFont="1" applyBorder="1" applyAlignment="1">
      <alignment horizontal="center"/>
    </xf>
    <xf numFmtId="165" fontId="44" fillId="0" borderId="26" xfId="14" applyNumberFormat="1" applyFont="1" applyBorder="1" applyAlignment="1">
      <alignment horizontal="center"/>
    </xf>
    <xf numFmtId="0" fontId="50" fillId="0" borderId="19" xfId="14" applyFont="1" applyBorder="1"/>
    <xf numFmtId="165" fontId="44" fillId="0" borderId="22" xfId="14" applyNumberFormat="1" applyFont="1" applyBorder="1" applyAlignment="1">
      <alignment horizontal="center"/>
    </xf>
    <xf numFmtId="165" fontId="44" fillId="0" borderId="18" xfId="14" applyNumberFormat="1" applyFont="1" applyBorder="1" applyAlignment="1">
      <alignment horizontal="center"/>
    </xf>
    <xf numFmtId="165" fontId="44" fillId="0" borderId="19" xfId="14" applyNumberFormat="1" applyFont="1" applyBorder="1" applyAlignment="1">
      <alignment horizontal="center"/>
    </xf>
    <xf numFmtId="0" fontId="51" fillId="0" borderId="24" xfId="14" applyFont="1" applyBorder="1"/>
    <xf numFmtId="0" fontId="51" fillId="0" borderId="26" xfId="14" applyFont="1" applyBorder="1"/>
    <xf numFmtId="0" fontId="44" fillId="0" borderId="21" xfId="14" applyFont="1" applyBorder="1" applyAlignment="1">
      <alignment horizontal="center"/>
    </xf>
    <xf numFmtId="0" fontId="41" fillId="0" borderId="0" xfId="14" applyFont="1"/>
    <xf numFmtId="167" fontId="53" fillId="0" borderId="0" xfId="15" applyNumberFormat="1" applyFont="1" applyAlignment="1">
      <alignment horizontal="center"/>
    </xf>
    <xf numFmtId="0" fontId="52" fillId="0" borderId="0" xfId="14" applyFont="1"/>
    <xf numFmtId="0" fontId="44" fillId="0" borderId="0" xfId="14" applyFont="1" applyAlignment="1">
      <alignment horizontal="right"/>
    </xf>
    <xf numFmtId="0" fontId="44" fillId="0" borderId="22" xfId="14" applyFont="1" applyBorder="1"/>
    <xf numFmtId="0" fontId="44" fillId="0" borderId="18" xfId="14" applyFont="1" applyBorder="1"/>
    <xf numFmtId="0" fontId="44" fillId="0" borderId="23" xfId="14" applyFont="1" applyBorder="1"/>
    <xf numFmtId="0" fontId="47" fillId="0" borderId="23" xfId="14" applyFont="1" applyBorder="1" applyAlignment="1">
      <alignment horizontal="center"/>
    </xf>
    <xf numFmtId="0" fontId="47" fillId="0" borderId="0" xfId="14" applyFont="1" applyAlignment="1">
      <alignment horizontal="center"/>
    </xf>
    <xf numFmtId="0" fontId="44" fillId="0" borderId="19" xfId="14" applyFont="1" applyBorder="1" applyAlignment="1">
      <alignment horizontal="center"/>
    </xf>
    <xf numFmtId="0" fontId="48" fillId="0" borderId="22" xfId="14" applyFont="1" applyBorder="1" applyAlignment="1">
      <alignment horizontal="center" vertical="center"/>
    </xf>
    <xf numFmtId="0" fontId="48" fillId="0" borderId="18" xfId="14" applyFont="1" applyBorder="1" applyAlignment="1">
      <alignment horizontal="center" vertical="center"/>
    </xf>
    <xf numFmtId="0" fontId="49" fillId="0" borderId="24" xfId="14" applyFont="1" applyBorder="1"/>
    <xf numFmtId="0" fontId="49" fillId="0" borderId="23" xfId="14" applyFont="1" applyBorder="1"/>
    <xf numFmtId="0" fontId="49" fillId="0" borderId="0" xfId="14" applyFont="1"/>
    <xf numFmtId="0" fontId="54" fillId="0" borderId="24" xfId="14" applyFont="1" applyBorder="1"/>
    <xf numFmtId="165" fontId="52" fillId="0" borderId="23" xfId="14" applyNumberFormat="1" applyFont="1" applyBorder="1" applyAlignment="1">
      <alignment horizontal="center"/>
    </xf>
    <xf numFmtId="165" fontId="52" fillId="0" borderId="0" xfId="14" applyNumberFormat="1" applyFont="1" applyAlignment="1">
      <alignment horizontal="center"/>
    </xf>
    <xf numFmtId="165" fontId="52" fillId="0" borderId="24" xfId="14" applyNumberFormat="1" applyFont="1" applyBorder="1" applyAlignment="1">
      <alignment horizontal="center"/>
    </xf>
    <xf numFmtId="0" fontId="44" fillId="0" borderId="25" xfId="14" applyFont="1" applyBorder="1"/>
    <xf numFmtId="0" fontId="54" fillId="0" borderId="26" xfId="14" applyFont="1" applyBorder="1"/>
    <xf numFmtId="0" fontId="41" fillId="0" borderId="25" xfId="14" applyFont="1" applyBorder="1" applyAlignment="1">
      <alignment horizontal="center"/>
    </xf>
    <xf numFmtId="0" fontId="41" fillId="0" borderId="21" xfId="14" applyFont="1" applyBorder="1" applyAlignment="1">
      <alignment horizontal="center"/>
    </xf>
    <xf numFmtId="0" fontId="54" fillId="0" borderId="19" xfId="14" applyFont="1" applyBorder="1"/>
    <xf numFmtId="0" fontId="41" fillId="0" borderId="22" xfId="14" applyFont="1" applyBorder="1" applyAlignment="1">
      <alignment horizontal="center"/>
    </xf>
    <xf numFmtId="0" fontId="41" fillId="0" borderId="18" xfId="14" applyFont="1" applyBorder="1" applyAlignment="1">
      <alignment horizontal="center"/>
    </xf>
    <xf numFmtId="165" fontId="52" fillId="0" borderId="18" xfId="14" applyNumberFormat="1" applyFont="1" applyBorder="1" applyAlignment="1">
      <alignment horizontal="center"/>
    </xf>
    <xf numFmtId="165" fontId="52" fillId="0" borderId="19" xfId="14" applyNumberFormat="1" applyFont="1" applyBorder="1" applyAlignment="1">
      <alignment horizontal="center"/>
    </xf>
    <xf numFmtId="0" fontId="50" fillId="0" borderId="0" xfId="14" applyFont="1"/>
    <xf numFmtId="0" fontId="55" fillId="0" borderId="24" xfId="14" applyFont="1" applyBorder="1"/>
    <xf numFmtId="0" fontId="41" fillId="0" borderId="23" xfId="14" applyFont="1" applyBorder="1" applyAlignment="1">
      <alignment horizontal="center"/>
    </xf>
    <xf numFmtId="0" fontId="41" fillId="0" borderId="0" xfId="14" applyFont="1" applyAlignment="1">
      <alignment horizontal="center"/>
    </xf>
    <xf numFmtId="0" fontId="48" fillId="0" borderId="24" xfId="14" applyFont="1" applyBorder="1" applyAlignment="1">
      <alignment horizontal="left"/>
    </xf>
    <xf numFmtId="0" fontId="52" fillId="0" borderId="24" xfId="14" applyFont="1" applyBorder="1"/>
    <xf numFmtId="0" fontId="44" fillId="0" borderId="19" xfId="14" applyFont="1" applyBorder="1"/>
    <xf numFmtId="0" fontId="50" fillId="0" borderId="18" xfId="14" applyFont="1" applyBorder="1" applyAlignment="1">
      <alignment horizontal="center"/>
    </xf>
    <xf numFmtId="0" fontId="50" fillId="0" borderId="0" xfId="14" applyFont="1" applyAlignment="1">
      <alignment horizontal="center"/>
    </xf>
    <xf numFmtId="0" fontId="50" fillId="0" borderId="24" xfId="14" applyFont="1" applyBorder="1" applyAlignment="1">
      <alignment horizontal="center"/>
    </xf>
    <xf numFmtId="0" fontId="41" fillId="0" borderId="24" xfId="14" applyFont="1" applyBorder="1"/>
    <xf numFmtId="0" fontId="44" fillId="0" borderId="24" xfId="14" applyFont="1" applyBorder="1" applyAlignment="1">
      <alignment horizontal="left"/>
    </xf>
    <xf numFmtId="0" fontId="44" fillId="0" borderId="26" xfId="14" applyFont="1" applyBorder="1"/>
    <xf numFmtId="0" fontId="44" fillId="0" borderId="21" xfId="14" applyFont="1" applyBorder="1"/>
    <xf numFmtId="165" fontId="44" fillId="0" borderId="0" xfId="14" applyNumberFormat="1" applyFont="1"/>
    <xf numFmtId="10" fontId="7" fillId="5" borderId="1" xfId="0" applyNumberFormat="1" applyFont="1" applyFill="1" applyBorder="1"/>
    <xf numFmtId="172" fontId="7" fillId="0" borderId="0" xfId="0" applyNumberFormat="1" applyFont="1"/>
    <xf numFmtId="164" fontId="7" fillId="5" borderId="1" xfId="5" applyNumberFormat="1" applyFont="1" applyFill="1" applyBorder="1"/>
    <xf numFmtId="10" fontId="7" fillId="5" borderId="1" xfId="5" applyNumberFormat="1" applyFont="1" applyFill="1" applyBorder="1"/>
    <xf numFmtId="171" fontId="7" fillId="5" borderId="1" xfId="5" applyNumberFormat="1" applyFont="1" applyFill="1" applyBorder="1"/>
    <xf numFmtId="164" fontId="10" fillId="5" borderId="1" xfId="5" applyNumberFormat="1" applyFont="1" applyFill="1" applyBorder="1"/>
    <xf numFmtId="0" fontId="57" fillId="0" borderId="1" xfId="0" applyFont="1" applyBorder="1" applyAlignment="1">
      <alignment vertical="center" wrapText="1"/>
    </xf>
    <xf numFmtId="4" fontId="58" fillId="0" borderId="1" xfId="0" applyNumberFormat="1" applyFont="1" applyBorder="1" applyAlignment="1">
      <alignment vertical="center"/>
    </xf>
    <xf numFmtId="0" fontId="7" fillId="0" borderId="0" xfId="0" applyFont="1" applyAlignment="1">
      <alignment vertical="center"/>
    </xf>
    <xf numFmtId="3" fontId="10" fillId="0" borderId="1" xfId="0" applyNumberFormat="1" applyFont="1" applyBorder="1" applyAlignment="1">
      <alignment vertical="center"/>
    </xf>
    <xf numFmtId="0" fontId="10" fillId="0" borderId="1" xfId="0" applyFont="1" applyBorder="1" applyAlignment="1">
      <alignment vertical="center"/>
    </xf>
    <xf numFmtId="0" fontId="7" fillId="5" borderId="1" xfId="0" applyFont="1" applyFill="1" applyBorder="1" applyAlignment="1">
      <alignment vertical="center"/>
    </xf>
    <xf numFmtId="0" fontId="56" fillId="0" borderId="1" xfId="0" applyFont="1" applyBorder="1" applyAlignment="1">
      <alignment vertical="center"/>
    </xf>
    <xf numFmtId="4" fontId="7" fillId="0" borderId="1" xfId="0" applyNumberFormat="1" applyFont="1" applyBorder="1" applyAlignment="1">
      <alignment vertical="center"/>
    </xf>
    <xf numFmtId="4" fontId="28" fillId="0" borderId="1" xfId="0" applyNumberFormat="1" applyFont="1" applyBorder="1" applyAlignment="1">
      <alignment vertical="center"/>
    </xf>
    <xf numFmtId="0" fontId="57" fillId="0" borderId="1" xfId="0" applyFont="1" applyBorder="1" applyAlignment="1">
      <alignment vertical="center"/>
    </xf>
    <xf numFmtId="4" fontId="10" fillId="0" borderId="0" xfId="0" applyNumberFormat="1" applyFont="1" applyAlignment="1">
      <alignment vertical="center"/>
    </xf>
    <xf numFmtId="4" fontId="7" fillId="0" borderId="0" xfId="0" applyNumberFormat="1" applyFont="1" applyAlignment="1">
      <alignment vertical="center"/>
    </xf>
    <xf numFmtId="0" fontId="56" fillId="0" borderId="1" xfId="0" applyFont="1" applyBorder="1" applyAlignment="1">
      <alignment vertical="center" wrapText="1"/>
    </xf>
    <xf numFmtId="0" fontId="38" fillId="0" borderId="0" xfId="9"/>
    <xf numFmtId="0" fontId="7" fillId="0" borderId="0" xfId="9" applyFont="1"/>
    <xf numFmtId="0" fontId="10" fillId="0" borderId="1" xfId="9" applyFont="1" applyBorder="1"/>
    <xf numFmtId="0" fontId="9" fillId="0" borderId="1" xfId="9" applyFont="1" applyBorder="1"/>
    <xf numFmtId="0" fontId="10" fillId="3" borderId="1" xfId="9" applyFont="1" applyFill="1" applyBorder="1"/>
    <xf numFmtId="0" fontId="7" fillId="0" borderId="1" xfId="9" applyFont="1" applyBorder="1"/>
    <xf numFmtId="172" fontId="62" fillId="0" borderId="1" xfId="9" applyNumberFormat="1" applyFont="1" applyBorder="1"/>
    <xf numFmtId="172" fontId="7" fillId="0" borderId="1" xfId="9" applyNumberFormat="1" applyFont="1" applyBorder="1"/>
    <xf numFmtId="172" fontId="62" fillId="0" borderId="31" xfId="9" applyNumberFormat="1" applyFont="1" applyBorder="1"/>
    <xf numFmtId="172" fontId="63" fillId="0" borderId="1" xfId="9" applyNumberFormat="1" applyFont="1" applyBorder="1"/>
    <xf numFmtId="172" fontId="10" fillId="0" borderId="1" xfId="9" applyNumberFormat="1" applyFont="1" applyBorder="1"/>
    <xf numFmtId="0" fontId="10" fillId="0" borderId="2" xfId="9" applyFont="1" applyBorder="1"/>
    <xf numFmtId="172" fontId="63" fillId="0" borderId="2" xfId="9" applyNumberFormat="1" applyFont="1" applyBorder="1"/>
    <xf numFmtId="172" fontId="10" fillId="0" borderId="2" xfId="9" applyNumberFormat="1" applyFont="1" applyBorder="1"/>
    <xf numFmtId="0" fontId="10" fillId="0" borderId="3" xfId="9" applyFont="1" applyBorder="1"/>
    <xf numFmtId="172" fontId="63" fillId="0" borderId="3" xfId="9" applyNumberFormat="1" applyFont="1" applyBorder="1"/>
    <xf numFmtId="172" fontId="10" fillId="0" borderId="3" xfId="9" applyNumberFormat="1" applyFont="1" applyBorder="1"/>
    <xf numFmtId="172" fontId="38" fillId="0" borderId="0" xfId="9" applyNumberFormat="1"/>
    <xf numFmtId="0" fontId="10" fillId="11" borderId="1" xfId="9" applyFont="1" applyFill="1" applyBorder="1"/>
    <xf numFmtId="0" fontId="38" fillId="12" borderId="0" xfId="9" applyFill="1"/>
    <xf numFmtId="0" fontId="65" fillId="0" borderId="37" xfId="9" applyFont="1" applyBorder="1" applyAlignment="1">
      <alignment horizontal="center"/>
    </xf>
    <xf numFmtId="0" fontId="65" fillId="0" borderId="38" xfId="9" applyFont="1" applyBorder="1" applyAlignment="1">
      <alignment horizontal="center"/>
    </xf>
    <xf numFmtId="0" fontId="65" fillId="0" borderId="36" xfId="9" applyFont="1" applyBorder="1" applyAlignment="1">
      <alignment horizontal="center"/>
    </xf>
    <xf numFmtId="0" fontId="65" fillId="0" borderId="17" xfId="9" applyFont="1" applyBorder="1" applyAlignment="1">
      <alignment horizontal="center"/>
    </xf>
    <xf numFmtId="0" fontId="38" fillId="0" borderId="3" xfId="9" applyBorder="1" applyAlignment="1">
      <alignment horizontal="center"/>
    </xf>
    <xf numFmtId="3" fontId="38" fillId="0" borderId="3" xfId="9" applyNumberFormat="1" applyBorder="1" applyAlignment="1">
      <alignment horizontal="center"/>
    </xf>
    <xf numFmtId="173" fontId="38" fillId="0" borderId="25" xfId="9" applyNumberFormat="1" applyBorder="1" applyAlignment="1">
      <alignment horizontal="center"/>
    </xf>
    <xf numFmtId="3" fontId="38" fillId="0" borderId="39" xfId="9" applyNumberFormat="1" applyBorder="1" applyAlignment="1">
      <alignment horizontal="center"/>
    </xf>
    <xf numFmtId="173" fontId="38" fillId="0" borderId="40" xfId="9" applyNumberFormat="1" applyBorder="1" applyAlignment="1">
      <alignment horizontal="center"/>
    </xf>
    <xf numFmtId="0" fontId="38" fillId="0" borderId="1" xfId="9" applyBorder="1" applyAlignment="1">
      <alignment horizontal="center"/>
    </xf>
    <xf numFmtId="3" fontId="38" fillId="0" borderId="1" xfId="9" applyNumberFormat="1" applyBorder="1" applyAlignment="1">
      <alignment horizontal="center"/>
    </xf>
    <xf numFmtId="173" fontId="38" fillId="0" borderId="4" xfId="9" applyNumberFormat="1" applyBorder="1" applyAlignment="1">
      <alignment horizontal="center"/>
    </xf>
    <xf numFmtId="0" fontId="38" fillId="0" borderId="5" xfId="9" applyBorder="1" applyAlignment="1">
      <alignment horizontal="center"/>
    </xf>
    <xf numFmtId="3" fontId="38" fillId="0" borderId="5" xfId="9" applyNumberFormat="1" applyBorder="1" applyAlignment="1">
      <alignment horizontal="center"/>
    </xf>
    <xf numFmtId="173" fontId="38" fillId="0" borderId="22" xfId="9" applyNumberFormat="1" applyBorder="1" applyAlignment="1">
      <alignment horizontal="center"/>
    </xf>
    <xf numFmtId="0" fontId="66" fillId="0" borderId="41" xfId="9" applyFont="1" applyBorder="1" applyAlignment="1">
      <alignment horizontal="center" vertical="center"/>
    </xf>
    <xf numFmtId="3" fontId="66" fillId="0" borderId="42" xfId="9" applyNumberFormat="1" applyFont="1" applyBorder="1" applyAlignment="1">
      <alignment horizontal="center" vertical="center"/>
    </xf>
    <xf numFmtId="173" fontId="66" fillId="14" borderId="43" xfId="9" applyNumberFormat="1" applyFont="1" applyFill="1" applyBorder="1" applyAlignment="1">
      <alignment horizontal="center" vertical="center"/>
    </xf>
    <xf numFmtId="172" fontId="38" fillId="0" borderId="0" xfId="9" applyNumberFormat="1" applyAlignment="1">
      <alignment horizontal="center"/>
    </xf>
    <xf numFmtId="4" fontId="38" fillId="0" borderId="0" xfId="9" applyNumberFormat="1"/>
    <xf numFmtId="43" fontId="0" fillId="0" borderId="0" xfId="22" applyFont="1"/>
    <xf numFmtId="0" fontId="60" fillId="0" borderId="0" xfId="9" applyFont="1" applyAlignment="1">
      <alignment horizontal="center" vertical="center"/>
    </xf>
    <xf numFmtId="172" fontId="60" fillId="0" borderId="0" xfId="9" applyNumberFormat="1" applyFont="1" applyAlignment="1">
      <alignment horizontal="center" vertical="center"/>
    </xf>
    <xf numFmtId="0" fontId="69" fillId="0" borderId="0" xfId="9" applyFont="1" applyAlignment="1">
      <alignment horizontal="center" vertical="center"/>
    </xf>
    <xf numFmtId="0" fontId="59" fillId="0" borderId="0" xfId="9" applyFont="1"/>
    <xf numFmtId="172" fontId="59" fillId="0" borderId="0" xfId="9" applyNumberFormat="1" applyFont="1" applyAlignment="1">
      <alignment horizontal="center"/>
    </xf>
    <xf numFmtId="0" fontId="71" fillId="0" borderId="0" xfId="9" applyFont="1"/>
    <xf numFmtId="0" fontId="72" fillId="0" borderId="0" xfId="9" applyFont="1"/>
    <xf numFmtId="0" fontId="73" fillId="0" borderId="0" xfId="9" applyFont="1"/>
    <xf numFmtId="172" fontId="73" fillId="0" borderId="0" xfId="9" applyNumberFormat="1" applyFont="1" applyAlignment="1">
      <alignment horizontal="center"/>
    </xf>
    <xf numFmtId="0" fontId="74" fillId="0" borderId="0" xfId="9" applyFont="1"/>
    <xf numFmtId="0" fontId="71" fillId="15" borderId="0" xfId="9" applyFont="1" applyFill="1"/>
    <xf numFmtId="172" fontId="71" fillId="0" borderId="0" xfId="9" applyNumberFormat="1" applyFont="1" applyAlignment="1">
      <alignment horizontal="center"/>
    </xf>
    <xf numFmtId="0" fontId="75" fillId="0" borderId="0" xfId="9" applyFont="1"/>
    <xf numFmtId="0" fontId="38" fillId="0" borderId="0" xfId="9" applyAlignment="1">
      <alignment horizontal="center"/>
    </xf>
    <xf numFmtId="0" fontId="76" fillId="0" borderId="12" xfId="9" applyFont="1" applyBorder="1" applyAlignment="1">
      <alignment horizontal="left" vertical="center"/>
    </xf>
    <xf numFmtId="0" fontId="76" fillId="0" borderId="0" xfId="9" applyFont="1" applyAlignment="1">
      <alignment horizontal="left" vertical="center"/>
    </xf>
    <xf numFmtId="0" fontId="38" fillId="0" borderId="0" xfId="9" applyAlignment="1">
      <alignment horizontal="center" vertical="center"/>
    </xf>
    <xf numFmtId="172" fontId="38" fillId="0" borderId="0" xfId="9" applyNumberFormat="1" applyAlignment="1">
      <alignment horizontal="center" vertical="center"/>
    </xf>
    <xf numFmtId="0" fontId="38" fillId="10" borderId="0" xfId="9" applyFill="1" applyAlignment="1">
      <alignment horizontal="right"/>
    </xf>
    <xf numFmtId="1" fontId="77" fillId="10" borderId="0" xfId="9" applyNumberFormat="1" applyFont="1" applyFill="1" applyAlignment="1">
      <alignment horizontal="left"/>
    </xf>
    <xf numFmtId="0" fontId="38" fillId="0" borderId="0" xfId="9" applyAlignment="1">
      <alignment vertical="center"/>
    </xf>
    <xf numFmtId="0" fontId="79" fillId="0" borderId="0" xfId="9" applyFont="1" applyAlignment="1">
      <alignment horizontal="right" vertical="center"/>
    </xf>
    <xf numFmtId="172" fontId="60" fillId="0" borderId="6" xfId="9" applyNumberFormat="1" applyFont="1" applyBorder="1" applyAlignment="1">
      <alignment horizontal="center" vertical="center"/>
    </xf>
    <xf numFmtId="0" fontId="10" fillId="9" borderId="1" xfId="9" applyFont="1" applyFill="1" applyBorder="1" applyAlignment="1">
      <alignment horizontal="left" vertical="center" wrapText="1"/>
    </xf>
    <xf numFmtId="0" fontId="10" fillId="5" borderId="1" xfId="9" applyFont="1" applyFill="1" applyBorder="1" applyAlignment="1">
      <alignment vertical="center" wrapText="1"/>
    </xf>
    <xf numFmtId="0" fontId="10" fillId="5" borderId="1" xfId="9" applyFont="1" applyFill="1" applyBorder="1" applyAlignment="1">
      <alignment horizontal="center" vertical="center" wrapText="1"/>
    </xf>
    <xf numFmtId="0" fontId="16" fillId="0" borderId="1" xfId="9" applyFont="1" applyBorder="1" applyAlignment="1">
      <alignment vertical="center"/>
    </xf>
    <xf numFmtId="3" fontId="16" fillId="16" borderId="1" xfId="9" applyNumberFormat="1" applyFont="1" applyFill="1" applyBorder="1" applyAlignment="1">
      <alignment horizontal="right" vertical="center"/>
    </xf>
    <xf numFmtId="0" fontId="9" fillId="0" borderId="0" xfId="9" applyFont="1"/>
    <xf numFmtId="0" fontId="7" fillId="0" borderId="36" xfId="9" applyFont="1" applyBorder="1" applyAlignment="1">
      <alignment horizontal="center" vertical="center"/>
    </xf>
    <xf numFmtId="0" fontId="7" fillId="0" borderId="47" xfId="9" applyFont="1" applyBorder="1" applyAlignment="1">
      <alignment horizontal="center" vertical="center"/>
    </xf>
    <xf numFmtId="0" fontId="38" fillId="0" borderId="44" xfId="9" applyBorder="1"/>
    <xf numFmtId="168" fontId="7" fillId="0" borderId="55" xfId="9" applyNumberFormat="1" applyFont="1" applyBorder="1" applyAlignment="1">
      <alignment horizontal="center" vertical="center"/>
    </xf>
    <xf numFmtId="168" fontId="7" fillId="0" borderId="56" xfId="9" applyNumberFormat="1" applyFont="1" applyBorder="1" applyAlignment="1">
      <alignment horizontal="center"/>
    </xf>
    <xf numFmtId="168" fontId="82" fillId="0" borderId="35" xfId="9" applyNumberFormat="1" applyFont="1" applyBorder="1" applyAlignment="1">
      <alignment horizontal="center"/>
    </xf>
    <xf numFmtId="168" fontId="83" fillId="0" borderId="0" xfId="9" applyNumberFormat="1" applyFont="1"/>
    <xf numFmtId="0" fontId="38" fillId="0" borderId="49" xfId="9" applyBorder="1"/>
    <xf numFmtId="168" fontId="7" fillId="0" borderId="49" xfId="9" applyNumberFormat="1" applyFont="1" applyBorder="1" applyAlignment="1">
      <alignment horizontal="center" vertical="center"/>
    </xf>
    <xf numFmtId="168" fontId="7" fillId="0" borderId="57" xfId="9" applyNumberFormat="1" applyFont="1" applyBorder="1" applyAlignment="1">
      <alignment horizontal="center"/>
    </xf>
    <xf numFmtId="0" fontId="38" fillId="0" borderId="46" xfId="9" applyBorder="1"/>
    <xf numFmtId="0" fontId="7" fillId="0" borderId="17" xfId="9" applyFont="1" applyBorder="1" applyAlignment="1">
      <alignment horizontal="center"/>
    </xf>
    <xf numFmtId="0" fontId="82" fillId="0" borderId="54" xfId="9" applyFont="1" applyBorder="1" applyAlignment="1">
      <alignment horizontal="center"/>
    </xf>
    <xf numFmtId="0" fontId="60" fillId="0" borderId="0" xfId="9" applyFont="1" applyAlignment="1">
      <alignment horizontal="center" vertical="center" wrapText="1"/>
    </xf>
    <xf numFmtId="0" fontId="60" fillId="0" borderId="0" xfId="9" applyFont="1" applyAlignment="1">
      <alignment horizontal="center" wrapText="1"/>
    </xf>
    <xf numFmtId="0" fontId="10" fillId="9" borderId="1" xfId="9" applyFont="1" applyFill="1" applyBorder="1" applyAlignment="1">
      <alignment vertical="center" wrapText="1"/>
    </xf>
    <xf numFmtId="0" fontId="7" fillId="0" borderId="1" xfId="9" applyFont="1" applyBorder="1" applyAlignment="1">
      <alignment vertical="center"/>
    </xf>
    <xf numFmtId="3" fontId="7" fillId="16" borderId="1" xfId="9" applyNumberFormat="1" applyFont="1" applyFill="1" applyBorder="1" applyAlignment="1">
      <alignment horizontal="right" vertical="center"/>
    </xf>
    <xf numFmtId="0" fontId="7" fillId="0" borderId="15" xfId="9" applyFont="1" applyBorder="1" applyAlignment="1">
      <alignment horizontal="center"/>
    </xf>
    <xf numFmtId="3" fontId="16" fillId="16" borderId="1" xfId="9" applyNumberFormat="1" applyFont="1" applyFill="1" applyBorder="1" applyAlignment="1">
      <alignment vertical="center"/>
    </xf>
    <xf numFmtId="1" fontId="7" fillId="0" borderId="55" xfId="9" applyNumberFormat="1" applyFont="1" applyBorder="1" applyAlignment="1">
      <alignment horizontal="center" vertical="center"/>
    </xf>
    <xf numFmtId="1" fontId="83" fillId="0" borderId="0" xfId="9" applyNumberFormat="1" applyFont="1"/>
    <xf numFmtId="3" fontId="7" fillId="16" borderId="1" xfId="9" applyNumberFormat="1" applyFont="1" applyFill="1" applyBorder="1" applyAlignment="1">
      <alignment vertical="center"/>
    </xf>
    <xf numFmtId="168" fontId="7" fillId="0" borderId="44" xfId="9" applyNumberFormat="1" applyFont="1" applyBorder="1" applyAlignment="1">
      <alignment horizontal="center" vertical="center"/>
    </xf>
    <xf numFmtId="168" fontId="7" fillId="0" borderId="46" xfId="9" applyNumberFormat="1" applyFont="1" applyBorder="1" applyAlignment="1">
      <alignment horizontal="center" vertical="center"/>
    </xf>
    <xf numFmtId="168" fontId="7" fillId="0" borderId="15" xfId="9" applyNumberFormat="1" applyFont="1" applyBorder="1" applyAlignment="1">
      <alignment horizontal="center"/>
    </xf>
    <xf numFmtId="0" fontId="38" fillId="0" borderId="0" xfId="9" applyAlignment="1">
      <alignment horizontal="left" vertical="center"/>
    </xf>
    <xf numFmtId="0" fontId="10" fillId="0" borderId="6" xfId="9" applyFont="1" applyBorder="1" applyAlignment="1">
      <alignment horizontal="center" vertical="center"/>
    </xf>
    <xf numFmtId="0" fontId="38" fillId="0" borderId="27" xfId="9" applyBorder="1"/>
    <xf numFmtId="0" fontId="10" fillId="0" borderId="60" xfId="9" applyFont="1" applyBorder="1" applyAlignment="1">
      <alignment horizontal="center" vertical="center"/>
    </xf>
    <xf numFmtId="0" fontId="80" fillId="0" borderId="60" xfId="9" applyFont="1" applyBorder="1" applyAlignment="1">
      <alignment horizontal="center" vertical="center"/>
    </xf>
    <xf numFmtId="168" fontId="38" fillId="0" borderId="0" xfId="9" applyNumberFormat="1" applyAlignment="1">
      <alignment horizontal="center"/>
    </xf>
    <xf numFmtId="0" fontId="10" fillId="5" borderId="1" xfId="9" applyFont="1" applyFill="1" applyBorder="1" applyAlignment="1">
      <alignment horizontal="center" vertical="top" wrapText="1"/>
    </xf>
    <xf numFmtId="0" fontId="10" fillId="5" borderId="5" xfId="9" applyFont="1" applyFill="1" applyBorder="1" applyAlignment="1">
      <alignment horizontal="center" vertical="top" wrapText="1"/>
    </xf>
    <xf numFmtId="3" fontId="7" fillId="17" borderId="1" xfId="9" applyNumberFormat="1" applyFont="1" applyFill="1" applyBorder="1" applyAlignment="1">
      <alignment vertical="center"/>
    </xf>
    <xf numFmtId="0" fontId="38" fillId="0" borderId="44" xfId="9" applyBorder="1" applyAlignment="1">
      <alignment horizontal="left"/>
    </xf>
    <xf numFmtId="168" fontId="38" fillId="0" borderId="61" xfId="9" applyNumberFormat="1" applyBorder="1" applyAlignment="1">
      <alignment horizontal="center"/>
    </xf>
    <xf numFmtId="168" fontId="38" fillId="0" borderId="39" xfId="9" applyNumberFormat="1" applyBorder="1" applyAlignment="1">
      <alignment horizontal="center"/>
    </xf>
    <xf numFmtId="168" fontId="38" fillId="0" borderId="40" xfId="9" applyNumberFormat="1" applyBorder="1" applyAlignment="1">
      <alignment horizontal="center"/>
    </xf>
    <xf numFmtId="0" fontId="38" fillId="0" borderId="49" xfId="9" applyBorder="1" applyAlignment="1">
      <alignment horizontal="left"/>
    </xf>
    <xf numFmtId="168" fontId="38" fillId="0" borderId="62" xfId="9" applyNumberFormat="1" applyBorder="1" applyAlignment="1">
      <alignment horizontal="center"/>
    </xf>
    <xf numFmtId="168" fontId="38" fillId="0" borderId="8" xfId="9" applyNumberFormat="1" applyBorder="1" applyAlignment="1">
      <alignment horizontal="center"/>
    </xf>
    <xf numFmtId="168" fontId="38" fillId="0" borderId="9" xfId="9" applyNumberFormat="1" applyBorder="1" applyAlignment="1">
      <alignment horizontal="center"/>
    </xf>
    <xf numFmtId="0" fontId="38" fillId="0" borderId="46" xfId="9" applyBorder="1" applyAlignment="1">
      <alignment horizontal="left"/>
    </xf>
    <xf numFmtId="168" fontId="38" fillId="0" borderId="63" xfId="9" applyNumberFormat="1" applyBorder="1" applyAlignment="1">
      <alignment horizontal="center"/>
    </xf>
    <xf numFmtId="168" fontId="38" fillId="0" borderId="36" xfId="9" applyNumberFormat="1" applyBorder="1" applyAlignment="1">
      <alignment horizontal="center"/>
    </xf>
    <xf numFmtId="168" fontId="38" fillId="0" borderId="47" xfId="9" applyNumberFormat="1" applyBorder="1" applyAlignment="1">
      <alignment horizontal="center"/>
    </xf>
    <xf numFmtId="168" fontId="38" fillId="0" borderId="0" xfId="9" applyNumberFormat="1"/>
    <xf numFmtId="0" fontId="10" fillId="5" borderId="3" xfId="9" applyFont="1" applyFill="1" applyBorder="1" applyAlignment="1">
      <alignment vertical="center" wrapText="1"/>
    </xf>
    <xf numFmtId="3" fontId="7" fillId="17" borderId="1" xfId="9" applyNumberFormat="1" applyFont="1" applyFill="1" applyBorder="1" applyAlignment="1">
      <alignment horizontal="right" vertical="center"/>
    </xf>
    <xf numFmtId="0" fontId="7" fillId="0" borderId="64" xfId="9" applyFont="1" applyBorder="1" applyAlignment="1">
      <alignment horizontal="center" vertical="center"/>
    </xf>
    <xf numFmtId="0" fontId="38" fillId="0" borderId="56" xfId="9" applyBorder="1" applyAlignment="1">
      <alignment horizontal="left"/>
    </xf>
    <xf numFmtId="168" fontId="38" fillId="0" borderId="44" xfId="9" applyNumberFormat="1" applyBorder="1" applyAlignment="1">
      <alignment horizontal="center"/>
    </xf>
    <xf numFmtId="168" fontId="38" fillId="0" borderId="45" xfId="9" applyNumberFormat="1" applyBorder="1" applyAlignment="1">
      <alignment horizontal="center"/>
    </xf>
    <xf numFmtId="168" fontId="38" fillId="0" borderId="35" xfId="9" applyNumberFormat="1" applyBorder="1" applyAlignment="1">
      <alignment horizontal="center" vertical="center"/>
    </xf>
    <xf numFmtId="0" fontId="38" fillId="0" borderId="57" xfId="9" applyBorder="1" applyAlignment="1">
      <alignment horizontal="left"/>
    </xf>
    <xf numFmtId="168" fontId="38" fillId="0" borderId="49" xfId="9" applyNumberFormat="1" applyBorder="1" applyAlignment="1">
      <alignment horizontal="center"/>
    </xf>
    <xf numFmtId="168" fontId="38" fillId="0" borderId="7" xfId="9" applyNumberFormat="1" applyBorder="1" applyAlignment="1">
      <alignment horizontal="center"/>
    </xf>
    <xf numFmtId="0" fontId="38" fillId="0" borderId="65" xfId="9" applyBorder="1" applyAlignment="1">
      <alignment horizontal="left"/>
    </xf>
    <xf numFmtId="168" fontId="38" fillId="0" borderId="46" xfId="9" applyNumberFormat="1" applyBorder="1" applyAlignment="1">
      <alignment horizontal="center"/>
    </xf>
    <xf numFmtId="168" fontId="38" fillId="0" borderId="64" xfId="9" applyNumberFormat="1" applyBorder="1" applyAlignment="1">
      <alignment horizontal="center"/>
    </xf>
    <xf numFmtId="1" fontId="38" fillId="0" borderId="55" xfId="9" applyNumberFormat="1" applyBorder="1" applyAlignment="1">
      <alignment horizontal="center"/>
    </xf>
    <xf numFmtId="1" fontId="38" fillId="0" borderId="62" xfId="9" applyNumberFormat="1" applyBorder="1" applyAlignment="1">
      <alignment horizontal="center"/>
    </xf>
    <xf numFmtId="1" fontId="38" fillId="0" borderId="63" xfId="9" applyNumberFormat="1" applyBorder="1" applyAlignment="1">
      <alignment horizontal="center"/>
    </xf>
    <xf numFmtId="1" fontId="38" fillId="0" borderId="47" xfId="9" applyNumberFormat="1" applyBorder="1" applyAlignment="1">
      <alignment horizontal="center"/>
    </xf>
    <xf numFmtId="1" fontId="38" fillId="0" borderId="0" xfId="9" applyNumberFormat="1"/>
    <xf numFmtId="1" fontId="38" fillId="0" borderId="0" xfId="9" applyNumberFormat="1" applyAlignment="1">
      <alignment horizontal="center" vertical="center"/>
    </xf>
    <xf numFmtId="49" fontId="38" fillId="0" borderId="0" xfId="9" applyNumberFormat="1" applyAlignment="1">
      <alignment horizontal="center" vertical="center"/>
    </xf>
    <xf numFmtId="49" fontId="38" fillId="0" borderId="0" xfId="9" applyNumberFormat="1" applyAlignment="1">
      <alignment vertical="center"/>
    </xf>
    <xf numFmtId="49" fontId="38" fillId="0" borderId="0" xfId="9" applyNumberFormat="1"/>
    <xf numFmtId="0" fontId="10" fillId="5" borderId="5" xfId="9" applyFont="1" applyFill="1" applyBorder="1" applyAlignment="1">
      <alignment horizontal="center" vertical="center" wrapText="1"/>
    </xf>
    <xf numFmtId="1" fontId="38" fillId="0" borderId="45" xfId="9" applyNumberFormat="1" applyBorder="1" applyAlignment="1">
      <alignment horizontal="center"/>
    </xf>
    <xf numFmtId="0" fontId="38" fillId="0" borderId="35" xfId="9" applyBorder="1" applyAlignment="1">
      <alignment horizontal="center"/>
    </xf>
    <xf numFmtId="1" fontId="38" fillId="0" borderId="7" xfId="9" applyNumberFormat="1" applyBorder="1" applyAlignment="1">
      <alignment horizontal="center"/>
    </xf>
    <xf numFmtId="0" fontId="38" fillId="0" borderId="9" xfId="9" applyBorder="1" applyAlignment="1">
      <alignment horizontal="center" vertical="center"/>
    </xf>
    <xf numFmtId="0" fontId="38" fillId="0" borderId="64" xfId="9" applyBorder="1" applyAlignment="1">
      <alignment horizontal="center"/>
    </xf>
    <xf numFmtId="0" fontId="38" fillId="0" borderId="0" xfId="9" applyAlignment="1">
      <alignment horizontal="right"/>
    </xf>
    <xf numFmtId="0" fontId="76" fillId="0" borderId="12" xfId="9" applyFont="1" applyBorder="1" applyAlignment="1">
      <alignment horizontal="left"/>
    </xf>
    <xf numFmtId="0" fontId="76" fillId="0" borderId="0" xfId="9" applyFont="1" applyAlignment="1">
      <alignment horizontal="left"/>
    </xf>
    <xf numFmtId="3" fontId="7" fillId="8" borderId="1" xfId="9" applyNumberFormat="1" applyFont="1" applyFill="1" applyBorder="1" applyAlignment="1">
      <alignment horizontal="right" vertical="center"/>
    </xf>
    <xf numFmtId="168" fontId="7" fillId="0" borderId="66" xfId="9" applyNumberFormat="1" applyFont="1" applyBorder="1" applyAlignment="1">
      <alignment horizontal="center" vertical="center"/>
    </xf>
    <xf numFmtId="168" fontId="7" fillId="0" borderId="32" xfId="9" applyNumberFormat="1" applyFont="1" applyBorder="1" applyAlignment="1">
      <alignment horizontal="center"/>
    </xf>
    <xf numFmtId="168" fontId="38" fillId="0" borderId="35" xfId="9" applyNumberFormat="1" applyBorder="1" applyAlignment="1">
      <alignment horizontal="center"/>
    </xf>
    <xf numFmtId="168" fontId="7" fillId="0" borderId="8" xfId="9" applyNumberFormat="1" applyFont="1" applyBorder="1" applyAlignment="1">
      <alignment horizontal="center"/>
    </xf>
    <xf numFmtId="168" fontId="7" fillId="0" borderId="36" xfId="9" applyNumberFormat="1" applyFont="1" applyBorder="1" applyAlignment="1">
      <alignment horizontal="center"/>
    </xf>
    <xf numFmtId="168" fontId="7" fillId="0" borderId="0" xfId="9" applyNumberFormat="1" applyFont="1" applyAlignment="1">
      <alignment horizontal="center" vertical="center"/>
    </xf>
    <xf numFmtId="168" fontId="7" fillId="0" borderId="32" xfId="9" applyNumberFormat="1" applyFont="1" applyBorder="1" applyAlignment="1">
      <alignment horizontal="center" vertical="center"/>
    </xf>
    <xf numFmtId="168" fontId="7" fillId="0" borderId="8" xfId="9" applyNumberFormat="1" applyFont="1" applyBorder="1" applyAlignment="1">
      <alignment horizontal="center" vertical="center"/>
    </xf>
    <xf numFmtId="168" fontId="7" fillId="0" borderId="36" xfId="9" applyNumberFormat="1" applyFont="1" applyBorder="1" applyAlignment="1">
      <alignment horizontal="center" vertical="center"/>
    </xf>
    <xf numFmtId="0" fontId="9" fillId="3" borderId="1" xfId="0" applyFont="1" applyFill="1" applyBorder="1" applyAlignment="1">
      <alignment horizontal="center" vertical="center" wrapText="1"/>
    </xf>
    <xf numFmtId="3" fontId="7" fillId="0" borderId="1" xfId="0" applyNumberFormat="1" applyFont="1" applyBorder="1" applyAlignment="1">
      <alignment horizontal="right"/>
    </xf>
    <xf numFmtId="0" fontId="87" fillId="0" borderId="0" xfId="0" applyFont="1"/>
    <xf numFmtId="0" fontId="10" fillId="3" borderId="1" xfId="0" applyFont="1" applyFill="1" applyBorder="1" applyAlignment="1">
      <alignment horizontal="left" vertical="center"/>
    </xf>
    <xf numFmtId="0" fontId="10" fillId="3" borderId="1" xfId="0" applyFont="1" applyFill="1" applyBorder="1" applyAlignment="1">
      <alignment horizontal="center" vertical="center" wrapText="1"/>
    </xf>
    <xf numFmtId="0" fontId="10" fillId="3" borderId="4" xfId="0" applyFont="1" applyFill="1" applyBorder="1" applyAlignment="1">
      <alignment horizontal="center" vertical="center" wrapText="1"/>
    </xf>
    <xf numFmtId="172" fontId="62" fillId="0" borderId="31" xfId="9" applyNumberFormat="1" applyFont="1" applyBorder="1" applyAlignment="1">
      <alignment horizontal="right"/>
    </xf>
    <xf numFmtId="0" fontId="89" fillId="0" borderId="0" xfId="9" applyFont="1" applyAlignment="1">
      <alignment horizontal="center" vertical="center"/>
    </xf>
    <xf numFmtId="0" fontId="88" fillId="0" borderId="0" xfId="9" applyFont="1" applyAlignment="1">
      <alignment horizontal="center"/>
    </xf>
    <xf numFmtId="0" fontId="88" fillId="11" borderId="0" xfId="9" applyFont="1" applyFill="1" applyAlignment="1">
      <alignment horizontal="center"/>
    </xf>
    <xf numFmtId="0" fontId="90" fillId="18" borderId="56" xfId="10" applyFont="1" applyFill="1" applyBorder="1" applyAlignment="1">
      <alignment vertical="center"/>
    </xf>
    <xf numFmtId="0" fontId="38" fillId="18" borderId="58" xfId="9" applyFill="1" applyBorder="1"/>
    <xf numFmtId="0" fontId="38" fillId="18" borderId="12" xfId="9" applyFill="1" applyBorder="1"/>
    <xf numFmtId="0" fontId="38" fillId="18" borderId="11" xfId="9" applyFill="1" applyBorder="1"/>
    <xf numFmtId="3" fontId="38" fillId="18" borderId="21" xfId="9" applyNumberFormat="1" applyFill="1" applyBorder="1" applyAlignment="1">
      <alignment horizontal="center" vertical="center"/>
    </xf>
    <xf numFmtId="3" fontId="38" fillId="18" borderId="20" xfId="9" applyNumberFormat="1" applyFill="1" applyBorder="1" applyAlignment="1">
      <alignment horizontal="center" vertical="center"/>
    </xf>
    <xf numFmtId="3" fontId="38" fillId="18" borderId="62" xfId="9" applyNumberFormat="1" applyFill="1" applyBorder="1" applyAlignment="1">
      <alignment horizontal="center" vertical="center"/>
    </xf>
    <xf numFmtId="0" fontId="38" fillId="18" borderId="13" xfId="9" applyFill="1" applyBorder="1"/>
    <xf numFmtId="0" fontId="38" fillId="18" borderId="18" xfId="9" applyFill="1" applyBorder="1"/>
    <xf numFmtId="0" fontId="38" fillId="18" borderId="20" xfId="9" applyFill="1" applyBorder="1"/>
    <xf numFmtId="0" fontId="38" fillId="18" borderId="62" xfId="9" applyFill="1" applyBorder="1"/>
    <xf numFmtId="3" fontId="38" fillId="18" borderId="18" xfId="9" applyNumberFormat="1" applyFill="1" applyBorder="1" applyAlignment="1">
      <alignment horizontal="center" vertical="center"/>
    </xf>
    <xf numFmtId="0" fontId="38" fillId="18" borderId="14" xfId="9" applyFill="1" applyBorder="1"/>
    <xf numFmtId="3" fontId="38" fillId="18" borderId="73" xfId="9" applyNumberFormat="1" applyFill="1" applyBorder="1" applyAlignment="1">
      <alignment horizontal="center" vertical="center"/>
    </xf>
    <xf numFmtId="0" fontId="38" fillId="18" borderId="21" xfId="9" applyFill="1" applyBorder="1"/>
    <xf numFmtId="3" fontId="38" fillId="18" borderId="59" xfId="9" applyNumberFormat="1" applyFill="1" applyBorder="1" applyAlignment="1">
      <alignment horizontal="center" vertical="center"/>
    </xf>
    <xf numFmtId="3" fontId="38" fillId="18" borderId="16" xfId="9" applyNumberFormat="1" applyFill="1" applyBorder="1" applyAlignment="1">
      <alignment horizontal="center" vertical="center"/>
    </xf>
    <xf numFmtId="0" fontId="83" fillId="0" borderId="0" xfId="9" applyFont="1" applyAlignment="1">
      <alignment vertical="center"/>
    </xf>
    <xf numFmtId="0" fontId="83" fillId="0" borderId="0" xfId="9" applyFont="1" applyAlignment="1">
      <alignment horizontal="center"/>
    </xf>
    <xf numFmtId="0" fontId="60" fillId="0" borderId="0" xfId="10" applyFont="1"/>
    <xf numFmtId="0" fontId="60" fillId="0" borderId="0" xfId="10" applyFont="1" applyAlignment="1">
      <alignment horizontal="right"/>
    </xf>
    <xf numFmtId="0" fontId="93" fillId="0" borderId="0" xfId="10" applyFont="1"/>
    <xf numFmtId="3" fontId="94" fillId="15" borderId="0" xfId="10" applyNumberFormat="1" applyFont="1" applyFill="1" applyAlignment="1">
      <alignment horizontal="center"/>
    </xf>
    <xf numFmtId="3" fontId="38" fillId="0" borderId="0" xfId="9" applyNumberFormat="1"/>
    <xf numFmtId="0" fontId="65" fillId="0" borderId="0" xfId="9" applyFont="1"/>
    <xf numFmtId="0" fontId="93" fillId="0" borderId="0" xfId="9" applyFont="1" applyAlignment="1">
      <alignment horizontal="center"/>
    </xf>
    <xf numFmtId="0" fontId="95" fillId="0" borderId="1" xfId="9" applyFont="1" applyBorder="1"/>
    <xf numFmtId="168" fontId="56" fillId="0" borderId="1" xfId="12" applyNumberFormat="1" applyFont="1" applyFill="1" applyBorder="1" applyAlignment="1">
      <alignment horizontal="center"/>
    </xf>
    <xf numFmtId="3" fontId="38" fillId="0" borderId="0" xfId="9" applyNumberFormat="1" applyAlignment="1">
      <alignment horizontal="center"/>
    </xf>
    <xf numFmtId="0" fontId="95" fillId="0" borderId="0" xfId="9" applyFont="1"/>
    <xf numFmtId="168" fontId="56" fillId="0" borderId="0" xfId="12" applyNumberFormat="1" applyFont="1" applyFill="1" applyBorder="1" applyAlignment="1">
      <alignment horizontal="center"/>
    </xf>
    <xf numFmtId="168" fontId="96" fillId="0" borderId="0" xfId="9" applyNumberFormat="1" applyFont="1"/>
    <xf numFmtId="175" fontId="60" fillId="0" borderId="0" xfId="10" applyNumberFormat="1" applyFont="1"/>
    <xf numFmtId="168" fontId="96" fillId="0" borderId="1" xfId="9" applyNumberFormat="1" applyFont="1" applyBorder="1"/>
    <xf numFmtId="0" fontId="97" fillId="0" borderId="0" xfId="9" applyFont="1"/>
    <xf numFmtId="175" fontId="60" fillId="0" borderId="0" xfId="9" applyNumberFormat="1" applyFont="1" applyAlignment="1">
      <alignment horizontal="center" vertical="center"/>
    </xf>
    <xf numFmtId="175" fontId="98" fillId="0" borderId="1" xfId="9" applyNumberFormat="1" applyFont="1" applyBorder="1" applyAlignment="1">
      <alignment horizontal="center" vertical="center"/>
    </xf>
    <xf numFmtId="175" fontId="99" fillId="0" borderId="0" xfId="9" applyNumberFormat="1" applyFont="1" applyAlignment="1">
      <alignment horizontal="center" vertical="center"/>
    </xf>
    <xf numFmtId="0" fontId="100" fillId="0" borderId="0" xfId="9" applyFont="1" applyAlignment="1">
      <alignment horizontal="left"/>
    </xf>
    <xf numFmtId="2" fontId="38" fillId="0" borderId="0" xfId="9" applyNumberFormat="1" applyAlignment="1">
      <alignment horizontal="center"/>
    </xf>
    <xf numFmtId="0" fontId="65" fillId="0" borderId="0" xfId="9" applyFont="1" applyAlignment="1">
      <alignment horizontal="center"/>
    </xf>
    <xf numFmtId="168" fontId="96" fillId="0" borderId="0" xfId="9" applyNumberFormat="1" applyFont="1" applyAlignment="1">
      <alignment vertical="center"/>
    </xf>
    <xf numFmtId="1" fontId="77" fillId="0" borderId="0" xfId="9" applyNumberFormat="1" applyFont="1" applyAlignment="1">
      <alignment horizontal="left"/>
    </xf>
    <xf numFmtId="0" fontId="103" fillId="0" borderId="0" xfId="9" applyFont="1"/>
    <xf numFmtId="1" fontId="38" fillId="10" borderId="0" xfId="9" applyNumberFormat="1" applyFill="1" applyAlignment="1">
      <alignment horizontal="left"/>
    </xf>
    <xf numFmtId="1" fontId="38" fillId="0" borderId="0" xfId="9" applyNumberFormat="1" applyAlignment="1">
      <alignment horizontal="left"/>
    </xf>
    <xf numFmtId="0" fontId="0" fillId="0" borderId="32" xfId="0" applyBorder="1" applyAlignment="1">
      <alignment horizontal="center"/>
    </xf>
    <xf numFmtId="0" fontId="0" fillId="0" borderId="8" xfId="0" applyBorder="1" applyAlignment="1">
      <alignment horizontal="center"/>
    </xf>
    <xf numFmtId="0" fontId="0" fillId="0" borderId="36" xfId="0" applyBorder="1" applyAlignment="1">
      <alignment horizontal="center"/>
    </xf>
    <xf numFmtId="0" fontId="0" fillId="0" borderId="39" xfId="0" applyBorder="1" applyAlignment="1">
      <alignment horizontal="center"/>
    </xf>
    <xf numFmtId="0" fontId="0" fillId="0" borderId="52" xfId="0" applyBorder="1" applyAlignment="1">
      <alignment horizontal="center"/>
    </xf>
    <xf numFmtId="0" fontId="0" fillId="0" borderId="32" xfId="0" applyBorder="1" applyAlignment="1">
      <alignment horizontal="center" vertical="center"/>
    </xf>
    <xf numFmtId="0" fontId="0" fillId="0" borderId="8" xfId="0" applyBorder="1" applyAlignment="1">
      <alignment horizontal="center" vertical="center"/>
    </xf>
    <xf numFmtId="0" fontId="0" fillId="0" borderId="36" xfId="0" applyBorder="1" applyAlignment="1">
      <alignment horizontal="center" vertical="center"/>
    </xf>
    <xf numFmtId="1" fontId="77" fillId="0" borderId="0" xfId="9" applyNumberFormat="1" applyFont="1"/>
    <xf numFmtId="172" fontId="0" fillId="0" borderId="33" xfId="0" applyNumberFormat="1" applyBorder="1" applyAlignment="1">
      <alignment horizontal="center"/>
    </xf>
    <xf numFmtId="172" fontId="0" fillId="0" borderId="35" xfId="0" applyNumberFormat="1" applyBorder="1" applyAlignment="1">
      <alignment horizontal="center"/>
    </xf>
    <xf numFmtId="172" fontId="0" fillId="0" borderId="37" xfId="0" applyNumberFormat="1" applyBorder="1" applyAlignment="1">
      <alignment horizontal="center"/>
    </xf>
    <xf numFmtId="172" fontId="0" fillId="0" borderId="47" xfId="0" applyNumberFormat="1" applyBorder="1" applyAlignment="1">
      <alignment horizontal="center"/>
    </xf>
    <xf numFmtId="0" fontId="0" fillId="0" borderId="6" xfId="0" applyBorder="1" applyAlignment="1">
      <alignment horizontal="center" vertical="center"/>
    </xf>
    <xf numFmtId="0" fontId="0" fillId="0" borderId="74" xfId="0" applyBorder="1" applyAlignment="1">
      <alignment horizontal="center"/>
    </xf>
    <xf numFmtId="172" fontId="0" fillId="0" borderId="42" xfId="0" applyNumberFormat="1" applyBorder="1" applyAlignment="1">
      <alignment horizontal="center"/>
    </xf>
    <xf numFmtId="172" fontId="0" fillId="0" borderId="43" xfId="0" applyNumberFormat="1" applyBorder="1" applyAlignment="1">
      <alignment horizontal="center"/>
    </xf>
    <xf numFmtId="0" fontId="10" fillId="0" borderId="27" xfId="0" applyFont="1" applyBorder="1" applyAlignment="1">
      <alignment horizontal="center"/>
    </xf>
    <xf numFmtId="0" fontId="10" fillId="0" borderId="29" xfId="0" applyFont="1" applyBorder="1" applyAlignment="1">
      <alignment horizontal="center"/>
    </xf>
    <xf numFmtId="0" fontId="10" fillId="3" borderId="39" xfId="0" applyFont="1" applyFill="1" applyBorder="1" applyAlignment="1">
      <alignment horizontal="center" vertical="center" wrapText="1"/>
    </xf>
    <xf numFmtId="0" fontId="10" fillId="3" borderId="40" xfId="0" applyFont="1" applyFill="1" applyBorder="1" applyAlignment="1">
      <alignment horizontal="center" vertical="center" wrapText="1"/>
    </xf>
    <xf numFmtId="0" fontId="108" fillId="0" borderId="0" xfId="14" applyFont="1"/>
    <xf numFmtId="0" fontId="109" fillId="0" borderId="0" xfId="14" applyFont="1"/>
    <xf numFmtId="0" fontId="50" fillId="0" borderId="18" xfId="14" applyFont="1" applyBorder="1" applyAlignment="1">
      <alignment horizontal="right"/>
    </xf>
    <xf numFmtId="0" fontId="50" fillId="0" borderId="19" xfId="14" applyFont="1" applyBorder="1" applyAlignment="1">
      <alignment horizontal="right"/>
    </xf>
    <xf numFmtId="0" fontId="110" fillId="0" borderId="0" xfId="14" applyFont="1" applyAlignment="1">
      <alignment horizontal="center"/>
    </xf>
    <xf numFmtId="0" fontId="110" fillId="0" borderId="24" xfId="14" applyFont="1" applyBorder="1" applyAlignment="1">
      <alignment horizontal="center"/>
    </xf>
    <xf numFmtId="0" fontId="54" fillId="0" borderId="18" xfId="14" applyFont="1" applyBorder="1" applyAlignment="1">
      <alignment horizontal="center" vertical="center"/>
    </xf>
    <xf numFmtId="0" fontId="54" fillId="0" borderId="19" xfId="14" applyFont="1" applyBorder="1" applyAlignment="1">
      <alignment horizontal="center" vertical="center"/>
    </xf>
    <xf numFmtId="0" fontId="52" fillId="0" borderId="21" xfId="14" applyFont="1" applyBorder="1" applyAlignment="1">
      <alignment horizontal="center"/>
    </xf>
    <xf numFmtId="165" fontId="52" fillId="0" borderId="26" xfId="14" applyNumberFormat="1" applyFont="1" applyBorder="1" applyAlignment="1">
      <alignment horizontal="center"/>
    </xf>
    <xf numFmtId="165" fontId="50" fillId="0" borderId="24" xfId="14" applyNumberFormat="1" applyFont="1" applyBorder="1"/>
    <xf numFmtId="0" fontId="52" fillId="0" borderId="18" xfId="14" applyFont="1" applyBorder="1" applyAlignment="1">
      <alignment horizontal="center"/>
    </xf>
    <xf numFmtId="0" fontId="52" fillId="0" borderId="0" xfId="14" applyFont="1" applyAlignment="1">
      <alignment horizontal="center"/>
    </xf>
    <xf numFmtId="165" fontId="50" fillId="0" borderId="19" xfId="14" applyNumberFormat="1" applyFont="1" applyBorder="1" applyAlignment="1">
      <alignment horizontal="center"/>
    </xf>
    <xf numFmtId="0" fontId="50" fillId="0" borderId="21" xfId="14" applyFont="1" applyBorder="1"/>
    <xf numFmtId="0" fontId="50" fillId="0" borderId="26" xfId="14" applyFont="1" applyBorder="1"/>
    <xf numFmtId="165" fontId="50" fillId="0" borderId="0" xfId="14" applyNumberFormat="1" applyFont="1"/>
    <xf numFmtId="0" fontId="62" fillId="0" borderId="0" xfId="9" applyFont="1" applyAlignment="1">
      <alignment horizontal="center"/>
    </xf>
    <xf numFmtId="0" fontId="10" fillId="15" borderId="1" xfId="9" applyFont="1" applyFill="1" applyBorder="1"/>
    <xf numFmtId="4" fontId="38" fillId="0" borderId="1" xfId="9" applyNumberFormat="1" applyBorder="1" applyAlignment="1">
      <alignment horizontal="center"/>
    </xf>
    <xf numFmtId="4" fontId="38" fillId="0" borderId="39" xfId="9" applyNumberFormat="1" applyBorder="1" applyAlignment="1">
      <alignment horizontal="center"/>
    </xf>
    <xf numFmtId="9" fontId="0" fillId="0" borderId="0" xfId="12" applyFont="1"/>
    <xf numFmtId="0" fontId="111" fillId="0" borderId="0" xfId="9" applyFont="1" applyAlignment="1">
      <alignment horizontal="center" vertical="center" wrapText="1"/>
    </xf>
    <xf numFmtId="0" fontId="70" fillId="0" borderId="0" xfId="9" applyFont="1" applyAlignment="1">
      <alignment horizontal="center" vertical="center" wrapText="1"/>
    </xf>
    <xf numFmtId="0" fontId="112" fillId="0" borderId="0" xfId="9" applyFont="1"/>
    <xf numFmtId="0" fontId="105" fillId="0" borderId="0" xfId="9" applyFont="1"/>
    <xf numFmtId="0" fontId="98" fillId="0" borderId="0" xfId="9" applyFont="1"/>
    <xf numFmtId="172" fontId="98" fillId="0" borderId="0" xfId="9" applyNumberFormat="1" applyFont="1" applyAlignment="1">
      <alignment horizontal="center"/>
    </xf>
    <xf numFmtId="0" fontId="113" fillId="0" borderId="0" xfId="9" applyFont="1"/>
    <xf numFmtId="0" fontId="104" fillId="0" borderId="0" xfId="9" applyFont="1"/>
    <xf numFmtId="172" fontId="104" fillId="0" borderId="0" xfId="9" applyNumberFormat="1" applyFont="1" applyAlignment="1">
      <alignment horizontal="center"/>
    </xf>
    <xf numFmtId="0" fontId="99" fillId="0" borderId="0" xfId="9" applyFont="1"/>
    <xf numFmtId="0" fontId="106" fillId="0" borderId="0" xfId="9" applyFont="1"/>
    <xf numFmtId="172" fontId="75" fillId="0" borderId="0" xfId="9" applyNumberFormat="1" applyFont="1" applyAlignment="1">
      <alignment horizontal="center"/>
    </xf>
    <xf numFmtId="3" fontId="2" fillId="15" borderId="0" xfId="9" applyNumberFormat="1" applyFont="1" applyFill="1"/>
    <xf numFmtId="0" fontId="76" fillId="0" borderId="6" xfId="9" applyFont="1" applyBorder="1" applyAlignment="1">
      <alignment horizontal="center" vertical="center"/>
    </xf>
    <xf numFmtId="0" fontId="76" fillId="0" borderId="29" xfId="9" applyFont="1" applyBorder="1" applyAlignment="1">
      <alignment horizontal="center" vertical="center"/>
    </xf>
    <xf numFmtId="0" fontId="7" fillId="0" borderId="57" xfId="9" applyFont="1" applyBorder="1" applyAlignment="1">
      <alignment horizontal="center"/>
    </xf>
    <xf numFmtId="0" fontId="82" fillId="0" borderId="9" xfId="9" applyFont="1" applyBorder="1" applyAlignment="1">
      <alignment horizontal="center"/>
    </xf>
    <xf numFmtId="0" fontId="7" fillId="0" borderId="15" xfId="9" applyFont="1" applyBorder="1"/>
    <xf numFmtId="0" fontId="7" fillId="0" borderId="59" xfId="9" applyFont="1" applyBorder="1" applyAlignment="1">
      <alignment horizontal="center" vertical="center"/>
    </xf>
    <xf numFmtId="1" fontId="7" fillId="0" borderId="56" xfId="9" applyNumberFormat="1" applyFont="1" applyBorder="1" applyAlignment="1">
      <alignment horizontal="center" vertical="center"/>
    </xf>
    <xf numFmtId="1" fontId="7" fillId="0" borderId="33" xfId="9" applyNumberFormat="1" applyFont="1" applyBorder="1" applyAlignment="1">
      <alignment horizontal="center" vertical="center"/>
    </xf>
    <xf numFmtId="1" fontId="82" fillId="0" borderId="35" xfId="9" applyNumberFormat="1" applyFont="1" applyBorder="1" applyAlignment="1">
      <alignment horizontal="center"/>
    </xf>
    <xf numFmtId="0" fontId="7" fillId="0" borderId="37" xfId="9" applyFont="1" applyBorder="1" applyAlignment="1">
      <alignment horizontal="center"/>
    </xf>
    <xf numFmtId="0" fontId="80" fillId="0" borderId="6" xfId="9" applyFont="1" applyBorder="1" applyAlignment="1">
      <alignment horizontal="center" vertical="center" wrapText="1"/>
    </xf>
    <xf numFmtId="0" fontId="76" fillId="0" borderId="6" xfId="9" applyFont="1" applyBorder="1" applyAlignment="1">
      <alignment horizontal="center"/>
    </xf>
    <xf numFmtId="0" fontId="76" fillId="0" borderId="29" xfId="9" applyFont="1" applyBorder="1" applyAlignment="1">
      <alignment horizontal="center"/>
    </xf>
    <xf numFmtId="1" fontId="38" fillId="0" borderId="32" xfId="9" applyNumberFormat="1" applyBorder="1" applyAlignment="1">
      <alignment horizontal="center"/>
    </xf>
    <xf numFmtId="1" fontId="38" fillId="0" borderId="58" xfId="9" applyNumberFormat="1" applyBorder="1" applyAlignment="1">
      <alignment horizontal="center"/>
    </xf>
    <xf numFmtId="1" fontId="38" fillId="0" borderId="35" xfId="9" applyNumberFormat="1" applyBorder="1" applyAlignment="1">
      <alignment horizontal="center"/>
    </xf>
    <xf numFmtId="1" fontId="38" fillId="0" borderId="8" xfId="9" applyNumberFormat="1" applyBorder="1" applyAlignment="1">
      <alignment horizontal="center"/>
    </xf>
    <xf numFmtId="1" fontId="38" fillId="0" borderId="20" xfId="9" applyNumberFormat="1" applyBorder="1" applyAlignment="1">
      <alignment horizontal="center"/>
    </xf>
    <xf numFmtId="1" fontId="38" fillId="0" borderId="9" xfId="9" applyNumberFormat="1" applyBorder="1" applyAlignment="1">
      <alignment horizontal="center"/>
    </xf>
    <xf numFmtId="1" fontId="38" fillId="0" borderId="36" xfId="9" applyNumberFormat="1" applyBorder="1" applyAlignment="1">
      <alignment horizontal="center"/>
    </xf>
    <xf numFmtId="1" fontId="38" fillId="0" borderId="59" xfId="9" applyNumberFormat="1" applyBorder="1" applyAlignment="1">
      <alignment horizontal="center"/>
    </xf>
    <xf numFmtId="10" fontId="0" fillId="0" borderId="0" xfId="12" applyNumberFormat="1" applyFont="1"/>
    <xf numFmtId="165" fontId="38" fillId="0" borderId="0" xfId="9" applyNumberFormat="1"/>
    <xf numFmtId="0" fontId="88" fillId="15" borderId="0" xfId="9" applyFont="1" applyFill="1" applyAlignment="1">
      <alignment horizontal="center"/>
    </xf>
    <xf numFmtId="9" fontId="38" fillId="0" borderId="0" xfId="2" applyFont="1"/>
    <xf numFmtId="168" fontId="115" fillId="0" borderId="35" xfId="9" applyNumberFormat="1" applyFont="1" applyBorder="1" applyAlignment="1">
      <alignment horizontal="center"/>
    </xf>
    <xf numFmtId="168" fontId="115" fillId="0" borderId="9" xfId="9" applyNumberFormat="1" applyFont="1" applyBorder="1" applyAlignment="1">
      <alignment horizontal="center"/>
    </xf>
    <xf numFmtId="168" fontId="115" fillId="0" borderId="54" xfId="9" applyNumberFormat="1" applyFont="1" applyBorder="1" applyAlignment="1">
      <alignment horizontal="center"/>
    </xf>
    <xf numFmtId="0" fontId="0" fillId="0" borderId="75" xfId="0" applyBorder="1" applyAlignment="1">
      <alignment horizontal="center"/>
    </xf>
    <xf numFmtId="0" fontId="0" fillId="0" borderId="5" xfId="0" applyBorder="1" applyAlignment="1">
      <alignment horizontal="center"/>
    </xf>
    <xf numFmtId="0" fontId="0" fillId="0" borderId="48" xfId="0" applyBorder="1" applyAlignment="1">
      <alignment horizontal="center"/>
    </xf>
    <xf numFmtId="0" fontId="0" fillId="0" borderId="19" xfId="0" applyBorder="1" applyAlignment="1">
      <alignment horizontal="center"/>
    </xf>
    <xf numFmtId="0" fontId="0" fillId="0" borderId="44" xfId="0" applyBorder="1" applyAlignment="1">
      <alignment horizontal="center" vertical="center"/>
    </xf>
    <xf numFmtId="0" fontId="0" fillId="0" borderId="56" xfId="0" applyBorder="1" applyAlignment="1">
      <alignment horizontal="center" vertical="center"/>
    </xf>
    <xf numFmtId="172" fontId="0" fillId="0" borderId="34" xfId="0" applyNumberFormat="1" applyBorder="1" applyAlignment="1">
      <alignment horizontal="center"/>
    </xf>
    <xf numFmtId="0" fontId="0" fillId="0" borderId="49" xfId="0" applyBorder="1" applyAlignment="1">
      <alignment horizontal="center" vertical="center"/>
    </xf>
    <xf numFmtId="0" fontId="0" fillId="0" borderId="57" xfId="0" applyBorder="1" applyAlignment="1">
      <alignment horizontal="center" vertical="center"/>
    </xf>
    <xf numFmtId="172" fontId="0" fillId="0" borderId="1" xfId="0" applyNumberFormat="1" applyBorder="1" applyAlignment="1">
      <alignment horizontal="center"/>
    </xf>
    <xf numFmtId="172" fontId="0" fillId="0" borderId="4" xfId="0" applyNumberFormat="1" applyBorder="1" applyAlignment="1">
      <alignment horizontal="center"/>
    </xf>
    <xf numFmtId="172" fontId="0" fillId="0" borderId="3" xfId="0" applyNumberFormat="1" applyBorder="1" applyAlignment="1">
      <alignment horizontal="center"/>
    </xf>
    <xf numFmtId="172" fontId="0" fillId="0" borderId="9" xfId="0" applyNumberFormat="1" applyBorder="1" applyAlignment="1">
      <alignment horizontal="center"/>
    </xf>
    <xf numFmtId="0" fontId="0" fillId="0" borderId="65" xfId="0" applyBorder="1" applyAlignment="1">
      <alignment horizontal="center" vertical="center"/>
    </xf>
    <xf numFmtId="172" fontId="0" fillId="0" borderId="38" xfId="0" applyNumberFormat="1" applyBorder="1" applyAlignment="1">
      <alignment horizontal="center"/>
    </xf>
    <xf numFmtId="172" fontId="0" fillId="0" borderId="50" xfId="0" applyNumberFormat="1" applyBorder="1" applyAlignment="1">
      <alignment horizontal="center"/>
    </xf>
    <xf numFmtId="0" fontId="0" fillId="0" borderId="75" xfId="0" applyBorder="1" applyAlignment="1">
      <alignment horizontal="center" vertical="center"/>
    </xf>
    <xf numFmtId="172" fontId="0" fillId="0" borderId="5" xfId="0" applyNumberFormat="1" applyBorder="1" applyAlignment="1">
      <alignment horizontal="center"/>
    </xf>
    <xf numFmtId="172" fontId="0" fillId="0" borderId="48" xfId="0" applyNumberFormat="1" applyBorder="1" applyAlignment="1">
      <alignment horizontal="center"/>
    </xf>
    <xf numFmtId="0" fontId="0" fillId="0" borderId="51" xfId="0" applyBorder="1" applyAlignment="1">
      <alignment horizontal="center" vertical="center"/>
    </xf>
    <xf numFmtId="172" fontId="0" fillId="0" borderId="33" xfId="0" applyNumberFormat="1" applyBorder="1" applyAlignment="1">
      <alignment horizontal="center" vertical="center"/>
    </xf>
    <xf numFmtId="172" fontId="0" fillId="0" borderId="1" xfId="0" applyNumberFormat="1" applyBorder="1" applyAlignment="1">
      <alignment horizontal="center" vertical="center"/>
    </xf>
    <xf numFmtId="0" fontId="0" fillId="0" borderId="72" xfId="0" applyBorder="1" applyAlignment="1">
      <alignment horizontal="center" vertical="center"/>
    </xf>
    <xf numFmtId="172" fontId="0" fillId="0" borderId="37" xfId="0" applyNumberFormat="1" applyBorder="1" applyAlignment="1">
      <alignment horizontal="center" vertical="center"/>
    </xf>
    <xf numFmtId="172" fontId="0" fillId="0" borderId="3" xfId="0" applyNumberFormat="1" applyBorder="1" applyAlignment="1">
      <alignment horizontal="center" vertical="center"/>
    </xf>
    <xf numFmtId="172" fontId="0" fillId="0" borderId="40" xfId="0" applyNumberFormat="1" applyBorder="1" applyAlignment="1">
      <alignment horizontal="center"/>
    </xf>
    <xf numFmtId="0" fontId="0" fillId="0" borderId="77" xfId="0" applyBorder="1" applyAlignment="1">
      <alignment horizontal="center"/>
    </xf>
    <xf numFmtId="172" fontId="0" fillId="0" borderId="5" xfId="0" applyNumberFormat="1" applyBorder="1" applyAlignment="1">
      <alignment horizontal="center" vertical="center"/>
    </xf>
    <xf numFmtId="172" fontId="0" fillId="0" borderId="22" xfId="0" applyNumberFormat="1" applyBorder="1" applyAlignment="1">
      <alignment horizontal="center"/>
    </xf>
    <xf numFmtId="0" fontId="0" fillId="0" borderId="44" xfId="0" applyBorder="1" applyAlignment="1">
      <alignment horizontal="center"/>
    </xf>
    <xf numFmtId="0" fontId="0" fillId="0" borderId="49" xfId="0" applyBorder="1" applyAlignment="1">
      <alignment horizontal="center"/>
    </xf>
    <xf numFmtId="0" fontId="0" fillId="0" borderId="51" xfId="0" applyBorder="1" applyAlignment="1">
      <alignment horizontal="center"/>
    </xf>
    <xf numFmtId="0" fontId="0" fillId="0" borderId="56" xfId="0" applyBorder="1" applyAlignment="1">
      <alignment horizontal="center"/>
    </xf>
    <xf numFmtId="0" fontId="0" fillId="0" borderId="72" xfId="0" applyBorder="1" applyAlignment="1">
      <alignment horizontal="center"/>
    </xf>
    <xf numFmtId="0" fontId="0" fillId="0" borderId="52" xfId="0" applyBorder="1" applyAlignment="1">
      <alignment horizontal="center" vertical="center"/>
    </xf>
    <xf numFmtId="0" fontId="0" fillId="0" borderId="65" xfId="0" applyBorder="1" applyAlignment="1">
      <alignment horizontal="center"/>
    </xf>
    <xf numFmtId="0" fontId="0" fillId="0" borderId="28" xfId="0" applyBorder="1" applyAlignment="1">
      <alignment horizontal="center"/>
    </xf>
    <xf numFmtId="0" fontId="0" fillId="0" borderId="41" xfId="0" applyBorder="1" applyAlignment="1">
      <alignment horizontal="center"/>
    </xf>
    <xf numFmtId="172" fontId="0" fillId="0" borderId="76" xfId="0" applyNumberFormat="1" applyBorder="1" applyAlignment="1">
      <alignment horizontal="center"/>
    </xf>
    <xf numFmtId="172" fontId="0" fillId="0" borderId="54" xfId="0" applyNumberFormat="1" applyBorder="1" applyAlignment="1">
      <alignment horizontal="center"/>
    </xf>
    <xf numFmtId="0" fontId="68" fillId="0" borderId="52" xfId="0" applyFont="1" applyBorder="1" applyAlignment="1">
      <alignment horizontal="center" vertical="center"/>
    </xf>
    <xf numFmtId="0" fontId="0" fillId="0" borderId="53" xfId="0" applyBorder="1"/>
    <xf numFmtId="172" fontId="68" fillId="14" borderId="54" xfId="0" applyNumberFormat="1" applyFont="1" applyFill="1" applyBorder="1" applyAlignment="1">
      <alignment horizontal="center" vertical="center"/>
    </xf>
    <xf numFmtId="0" fontId="6" fillId="0" borderId="0" xfId="25"/>
    <xf numFmtId="0" fontId="45" fillId="0" borderId="41" xfId="25" applyFont="1" applyBorder="1" applyAlignment="1">
      <alignment horizontal="center" vertical="center"/>
    </xf>
    <xf numFmtId="49" fontId="116" fillId="19" borderId="78" xfId="26" applyNumberFormat="1" applyFont="1" applyFill="1" applyBorder="1" applyAlignment="1">
      <alignment horizontal="center" vertical="center"/>
    </xf>
    <xf numFmtId="49" fontId="116" fillId="0" borderId="42" xfId="26" applyNumberFormat="1" applyFont="1" applyFill="1" applyBorder="1" applyAlignment="1">
      <alignment horizontal="center" vertical="center"/>
    </xf>
    <xf numFmtId="49" fontId="116" fillId="20" borderId="79" xfId="26" applyNumberFormat="1" applyFont="1" applyFill="1" applyBorder="1" applyAlignment="1">
      <alignment horizontal="center" vertical="center"/>
    </xf>
    <xf numFmtId="9" fontId="116" fillId="19" borderId="78" xfId="26" applyFont="1" applyFill="1" applyBorder="1" applyAlignment="1">
      <alignment horizontal="center" vertical="center"/>
    </xf>
    <xf numFmtId="9" fontId="116" fillId="0" borderId="42" xfId="26" applyFont="1" applyFill="1" applyBorder="1" applyAlignment="1">
      <alignment horizontal="center" vertical="center"/>
    </xf>
    <xf numFmtId="9" fontId="116" fillId="20" borderId="79" xfId="26" applyFont="1" applyFill="1" applyBorder="1" applyAlignment="1">
      <alignment horizontal="center" vertical="center"/>
    </xf>
    <xf numFmtId="9" fontId="116" fillId="19" borderId="42" xfId="26" applyFont="1" applyFill="1" applyBorder="1" applyAlignment="1">
      <alignment horizontal="center" vertical="center"/>
    </xf>
    <xf numFmtId="9" fontId="116" fillId="20" borderId="43" xfId="26" applyFont="1" applyFill="1" applyBorder="1" applyAlignment="1">
      <alignment horizontal="center" vertical="center"/>
    </xf>
    <xf numFmtId="0" fontId="6" fillId="0" borderId="32" xfId="25" applyBorder="1" applyAlignment="1">
      <alignment horizontal="center"/>
    </xf>
    <xf numFmtId="3" fontId="6" fillId="0" borderId="33" xfId="25" applyNumberFormat="1" applyBorder="1" applyAlignment="1">
      <alignment horizontal="center"/>
    </xf>
    <xf numFmtId="3" fontId="6" fillId="0" borderId="35" xfId="25" applyNumberFormat="1" applyBorder="1" applyAlignment="1">
      <alignment horizontal="center"/>
    </xf>
    <xf numFmtId="0" fontId="6" fillId="0" borderId="8" xfId="25" applyBorder="1" applyAlignment="1">
      <alignment horizontal="center"/>
    </xf>
    <xf numFmtId="3" fontId="6" fillId="0" borderId="1" xfId="25" applyNumberFormat="1" applyBorder="1" applyAlignment="1">
      <alignment horizontal="center"/>
    </xf>
    <xf numFmtId="3" fontId="6" fillId="0" borderId="9" xfId="25" applyNumberFormat="1" applyBorder="1" applyAlignment="1">
      <alignment horizontal="center"/>
    </xf>
    <xf numFmtId="0" fontId="6" fillId="0" borderId="36" xfId="25" applyBorder="1" applyAlignment="1">
      <alignment horizontal="center"/>
    </xf>
    <xf numFmtId="3" fontId="6" fillId="0" borderId="37" xfId="25" applyNumberFormat="1" applyBorder="1" applyAlignment="1">
      <alignment horizontal="center"/>
    </xf>
    <xf numFmtId="3" fontId="6" fillId="0" borderId="47" xfId="25" applyNumberFormat="1" applyBorder="1" applyAlignment="1">
      <alignment horizontal="center"/>
    </xf>
    <xf numFmtId="0" fontId="45" fillId="0" borderId="80" xfId="25" applyFont="1" applyBorder="1" applyAlignment="1">
      <alignment horizontal="center" vertical="center"/>
    </xf>
    <xf numFmtId="49" fontId="116" fillId="0" borderId="78" xfId="26" applyNumberFormat="1" applyFont="1" applyFill="1" applyBorder="1" applyAlignment="1">
      <alignment horizontal="center" vertical="center"/>
    </xf>
    <xf numFmtId="9" fontId="116" fillId="0" borderId="78" xfId="26" applyFont="1" applyFill="1" applyBorder="1" applyAlignment="1">
      <alignment horizontal="center" vertical="center"/>
    </xf>
    <xf numFmtId="10" fontId="0" fillId="0" borderId="33" xfId="2" applyNumberFormat="1" applyFont="1" applyBorder="1" applyAlignment="1">
      <alignment horizontal="center" vertical="center"/>
    </xf>
    <xf numFmtId="10" fontId="0" fillId="0" borderId="1" xfId="2" applyNumberFormat="1" applyFont="1" applyBorder="1" applyAlignment="1">
      <alignment horizontal="center" vertical="center"/>
    </xf>
    <xf numFmtId="10" fontId="0" fillId="0" borderId="37" xfId="2" applyNumberFormat="1" applyFont="1" applyBorder="1" applyAlignment="1">
      <alignment horizontal="center" vertical="center"/>
    </xf>
    <xf numFmtId="0" fontId="45" fillId="0" borderId="0" xfId="25" applyFont="1" applyAlignment="1">
      <alignment horizontal="center" vertical="center"/>
    </xf>
    <xf numFmtId="0" fontId="6" fillId="0" borderId="0" xfId="25" applyAlignment="1">
      <alignment vertical="center"/>
    </xf>
    <xf numFmtId="0" fontId="19" fillId="0" borderId="0" xfId="25" applyFont="1"/>
    <xf numFmtId="0" fontId="6" fillId="0" borderId="75" xfId="25" applyBorder="1" applyAlignment="1">
      <alignment horizontal="center"/>
    </xf>
    <xf numFmtId="3" fontId="6" fillId="0" borderId="5" xfId="25" applyNumberFormat="1" applyBorder="1" applyAlignment="1">
      <alignment horizontal="center"/>
    </xf>
    <xf numFmtId="3" fontId="6" fillId="0" borderId="48" xfId="25" applyNumberFormat="1" applyBorder="1" applyAlignment="1">
      <alignment horizontal="center"/>
    </xf>
    <xf numFmtId="0" fontId="7" fillId="0" borderId="0" xfId="25" applyFont="1"/>
    <xf numFmtId="0" fontId="10" fillId="22" borderId="10" xfId="25" applyFont="1" applyFill="1" applyBorder="1" applyAlignment="1">
      <alignment horizontal="center" vertical="center" wrapText="1"/>
    </xf>
    <xf numFmtId="0" fontId="10" fillId="23" borderId="27" xfId="25" applyFont="1" applyFill="1" applyBorder="1" applyAlignment="1">
      <alignment vertical="center" wrapText="1"/>
    </xf>
    <xf numFmtId="0" fontId="10" fillId="23" borderId="28" xfId="25" applyFont="1" applyFill="1" applyBorder="1" applyAlignment="1">
      <alignment vertical="center" wrapText="1"/>
    </xf>
    <xf numFmtId="0" fontId="10" fillId="24" borderId="13" xfId="25" applyFont="1" applyFill="1" applyBorder="1" applyAlignment="1">
      <alignment horizontal="center" vertical="center" wrapText="1"/>
    </xf>
    <xf numFmtId="0" fontId="10" fillId="11" borderId="15" xfId="25" applyFont="1" applyFill="1" applyBorder="1" applyAlignment="1">
      <alignment horizontal="center" vertical="center" wrapText="1"/>
    </xf>
    <xf numFmtId="0" fontId="10" fillId="0" borderId="0" xfId="25" applyFont="1" applyAlignment="1">
      <alignment horizontal="center" vertical="center" wrapText="1"/>
    </xf>
    <xf numFmtId="0" fontId="7" fillId="0" borderId="0" xfId="25" applyFont="1" applyAlignment="1">
      <alignment horizontal="center" vertical="center" wrapText="1"/>
    </xf>
    <xf numFmtId="9" fontId="7" fillId="0" borderId="0" xfId="25" applyNumberFormat="1" applyFont="1" applyAlignment="1">
      <alignment horizontal="center" vertical="center" wrapText="1"/>
    </xf>
    <xf numFmtId="0" fontId="7" fillId="0" borderId="0" xfId="25" applyFont="1" applyAlignment="1">
      <alignment horizontal="center" vertical="center"/>
    </xf>
    <xf numFmtId="0" fontId="10" fillId="22" borderId="28" xfId="25" applyFont="1" applyFill="1" applyBorder="1" applyAlignment="1">
      <alignment horizontal="center" vertical="center" wrapText="1"/>
    </xf>
    <xf numFmtId="0" fontId="10" fillId="24" borderId="27" xfId="25" applyFont="1" applyFill="1" applyBorder="1" applyAlignment="1">
      <alignment horizontal="center" vertical="center" wrapText="1"/>
    </xf>
    <xf numFmtId="0" fontId="10" fillId="11" borderId="6" xfId="25" applyFont="1" applyFill="1" applyBorder="1" applyAlignment="1">
      <alignment horizontal="center" vertical="center" wrapText="1"/>
    </xf>
    <xf numFmtId="0" fontId="7" fillId="0" borderId="44" xfId="25" applyFont="1" applyBorder="1" applyAlignment="1">
      <alignment horizontal="center" vertical="center"/>
    </xf>
    <xf numFmtId="10" fontId="7" fillId="0" borderId="0" xfId="2" applyNumberFormat="1" applyFont="1" applyAlignment="1">
      <alignment horizontal="center"/>
    </xf>
    <xf numFmtId="10" fontId="7" fillId="0" borderId="44" xfId="25" applyNumberFormat="1" applyFont="1" applyBorder="1" applyAlignment="1">
      <alignment horizontal="center" vertical="center" wrapText="1"/>
    </xf>
    <xf numFmtId="10" fontId="7" fillId="0" borderId="55" xfId="25" applyNumberFormat="1" applyFont="1" applyBorder="1" applyAlignment="1">
      <alignment horizontal="center" vertical="center" wrapText="1"/>
    </xf>
    <xf numFmtId="0" fontId="7" fillId="0" borderId="46" xfId="25" applyFont="1" applyBorder="1" applyAlignment="1">
      <alignment horizontal="center" vertical="center"/>
    </xf>
    <xf numFmtId="3" fontId="7" fillId="0" borderId="59" xfId="25" applyNumberFormat="1" applyFont="1" applyBorder="1" applyAlignment="1">
      <alignment horizontal="center" vertical="center" wrapText="1"/>
    </xf>
    <xf numFmtId="3" fontId="7" fillId="0" borderId="46" xfId="25" applyNumberFormat="1" applyFont="1" applyBorder="1" applyAlignment="1">
      <alignment horizontal="center" vertical="center" wrapText="1"/>
    </xf>
    <xf numFmtId="3" fontId="7" fillId="0" borderId="63" xfId="25" applyNumberFormat="1" applyFont="1" applyBorder="1" applyAlignment="1">
      <alignment horizontal="center" vertical="center" wrapText="1"/>
    </xf>
    <xf numFmtId="0" fontId="7" fillId="0" borderId="66" xfId="25" applyFont="1" applyBorder="1" applyAlignment="1">
      <alignment horizontal="center" vertical="center"/>
    </xf>
    <xf numFmtId="10" fontId="7" fillId="0" borderId="21" xfId="25" applyNumberFormat="1" applyFont="1" applyBorder="1" applyAlignment="1">
      <alignment horizontal="center" vertical="center" wrapText="1"/>
    </xf>
    <xf numFmtId="10" fontId="7" fillId="0" borderId="66" xfId="25" applyNumberFormat="1" applyFont="1" applyBorder="1" applyAlignment="1">
      <alignment horizontal="center" vertical="center" wrapText="1"/>
    </xf>
    <xf numFmtId="10" fontId="7" fillId="0" borderId="61" xfId="25" applyNumberFormat="1" applyFont="1" applyBorder="1" applyAlignment="1">
      <alignment horizontal="center" vertical="center" wrapText="1"/>
    </xf>
    <xf numFmtId="0" fontId="38" fillId="0" borderId="36" xfId="27" applyBorder="1"/>
    <xf numFmtId="0" fontId="38" fillId="0" borderId="37" xfId="27" applyBorder="1"/>
    <xf numFmtId="0" fontId="38" fillId="0" borderId="47" xfId="27" applyBorder="1"/>
    <xf numFmtId="0" fontId="128" fillId="0" borderId="84" xfId="28" applyFont="1" applyBorder="1" applyAlignment="1">
      <alignment horizontal="center" wrapText="1"/>
    </xf>
    <xf numFmtId="0" fontId="128" fillId="0" borderId="85" xfId="28" applyFont="1" applyBorder="1" applyAlignment="1">
      <alignment horizontal="center" wrapText="1"/>
    </xf>
    <xf numFmtId="0" fontId="128" fillId="0" borderId="86" xfId="29" applyFont="1" applyBorder="1" applyAlignment="1">
      <alignment horizontal="center" wrapText="1"/>
    </xf>
    <xf numFmtId="0" fontId="128" fillId="0" borderId="85" xfId="29" applyFont="1" applyBorder="1" applyAlignment="1">
      <alignment horizontal="center" wrapText="1"/>
    </xf>
    <xf numFmtId="4" fontId="131" fillId="0" borderId="90" xfId="29" applyNumberFormat="1" applyFont="1" applyBorder="1" applyAlignment="1">
      <alignment horizontal="right" vertical="center"/>
    </xf>
    <xf numFmtId="4" fontId="131" fillId="0" borderId="91" xfId="29" applyNumberFormat="1" applyFont="1" applyBorder="1" applyAlignment="1">
      <alignment horizontal="right" vertical="center"/>
    </xf>
    <xf numFmtId="0" fontId="132" fillId="0" borderId="0" xfId="25" applyFont="1"/>
    <xf numFmtId="4" fontId="133" fillId="0" borderId="92" xfId="29" applyNumberFormat="1" applyFont="1" applyBorder="1" applyAlignment="1">
      <alignment horizontal="right" vertical="center"/>
    </xf>
    <xf numFmtId="4" fontId="133" fillId="0" borderId="93" xfId="29" applyNumberFormat="1" applyFont="1" applyBorder="1" applyAlignment="1">
      <alignment horizontal="right" vertical="center"/>
    </xf>
    <xf numFmtId="0" fontId="130" fillId="3" borderId="14" xfId="28" applyFont="1" applyFill="1" applyBorder="1" applyAlignment="1">
      <alignment horizontal="left" vertical="center" wrapText="1"/>
    </xf>
    <xf numFmtId="4" fontId="131" fillId="0" borderId="96" xfId="29" applyNumberFormat="1" applyFont="1" applyBorder="1" applyAlignment="1">
      <alignment horizontal="right" vertical="center"/>
    </xf>
    <xf numFmtId="4" fontId="131" fillId="0" borderId="97" xfId="29" applyNumberFormat="1" applyFont="1" applyBorder="1" applyAlignment="1">
      <alignment horizontal="left" vertical="center" wrapText="1"/>
    </xf>
    <xf numFmtId="0" fontId="6" fillId="0" borderId="0" xfId="25" applyAlignment="1">
      <alignment vertical="center" wrapText="1"/>
    </xf>
    <xf numFmtId="4" fontId="133" fillId="0" borderId="96" xfId="29" applyNumberFormat="1" applyFont="1" applyBorder="1" applyAlignment="1">
      <alignment horizontal="right" vertical="center"/>
    </xf>
    <xf numFmtId="4" fontId="133" fillId="0" borderId="97" xfId="29" applyNumberFormat="1" applyFont="1" applyBorder="1" applyAlignment="1">
      <alignment horizontal="left" vertical="center" wrapText="1"/>
    </xf>
    <xf numFmtId="0" fontId="19" fillId="0" borderId="0" xfId="25" applyFont="1" applyAlignment="1">
      <alignment vertical="center"/>
    </xf>
    <xf numFmtId="0" fontId="130" fillId="3" borderId="98" xfId="28" applyFont="1" applyFill="1" applyBorder="1" applyAlignment="1">
      <alignment horizontal="left" vertical="center" wrapText="1"/>
    </xf>
    <xf numFmtId="4" fontId="131" fillId="0" borderId="92" xfId="29" applyNumberFormat="1" applyFont="1" applyBorder="1" applyAlignment="1">
      <alignment horizontal="right" vertical="center"/>
    </xf>
    <xf numFmtId="4" fontId="131" fillId="0" borderId="93" xfId="29" applyNumberFormat="1" applyFont="1" applyBorder="1" applyAlignment="1">
      <alignment horizontal="left" vertical="center" wrapText="1"/>
    </xf>
    <xf numFmtId="4" fontId="133" fillId="0" borderId="93" xfId="29" applyNumberFormat="1" applyFont="1" applyBorder="1" applyAlignment="1">
      <alignment horizontal="left" vertical="center" wrapText="1"/>
    </xf>
    <xf numFmtId="0" fontId="134" fillId="0" borderId="0" xfId="25" applyFont="1"/>
    <xf numFmtId="4" fontId="131" fillId="0" borderId="93" xfId="29" applyNumberFormat="1" applyFont="1" applyBorder="1" applyAlignment="1">
      <alignment horizontal="right" vertical="center"/>
    </xf>
    <xf numFmtId="4" fontId="131" fillId="0" borderId="99" xfId="29" applyNumberFormat="1" applyFont="1" applyBorder="1" applyAlignment="1">
      <alignment horizontal="right" vertical="center"/>
    </xf>
    <xf numFmtId="4" fontId="131" fillId="0" borderId="100" xfId="29" applyNumberFormat="1" applyFont="1" applyBorder="1" applyAlignment="1">
      <alignment horizontal="right" vertical="center"/>
    </xf>
    <xf numFmtId="4" fontId="133" fillId="0" borderId="99" xfId="29" applyNumberFormat="1" applyFont="1" applyBorder="1" applyAlignment="1">
      <alignment horizontal="right" vertical="center"/>
    </xf>
    <xf numFmtId="4" fontId="133" fillId="0" borderId="100" xfId="29" applyNumberFormat="1" applyFont="1" applyBorder="1" applyAlignment="1">
      <alignment horizontal="right" vertical="center"/>
    </xf>
    <xf numFmtId="0" fontId="134" fillId="0" borderId="0" xfId="25" applyFont="1" applyAlignment="1">
      <alignment vertical="center" wrapText="1"/>
    </xf>
    <xf numFmtId="0" fontId="136" fillId="0" borderId="0" xfId="25" applyFont="1" applyAlignment="1">
      <alignment vertical="center"/>
    </xf>
    <xf numFmtId="0" fontId="19" fillId="0" borderId="0" xfId="25" applyFont="1" applyAlignment="1">
      <alignment horizontal="center" vertical="center" wrapText="1"/>
    </xf>
    <xf numFmtId="0" fontId="137" fillId="0" borderId="0" xfId="25" applyFont="1" applyAlignment="1">
      <alignment horizontal="left" vertical="center"/>
    </xf>
    <xf numFmtId="0" fontId="137" fillId="0" borderId="0" xfId="25" applyFont="1" applyAlignment="1">
      <alignment horizontal="left" vertical="center" wrapText="1"/>
    </xf>
    <xf numFmtId="0" fontId="6" fillId="12" borderId="0" xfId="25" applyFill="1"/>
    <xf numFmtId="0" fontId="132" fillId="12" borderId="0" xfId="25" applyFont="1" applyFill="1"/>
    <xf numFmtId="0" fontId="6" fillId="12" borderId="0" xfId="25" applyFill="1" applyAlignment="1">
      <alignment vertical="center" wrapText="1"/>
    </xf>
    <xf numFmtId="0" fontId="19" fillId="12" borderId="0" xfId="25" applyFont="1" applyFill="1" applyAlignment="1">
      <alignment horizontal="center" vertical="center" wrapText="1"/>
    </xf>
    <xf numFmtId="0" fontId="135" fillId="12" borderId="0" xfId="25" applyFont="1" applyFill="1" applyAlignment="1">
      <alignment horizontal="left" vertical="center" wrapText="1"/>
    </xf>
    <xf numFmtId="0" fontId="137" fillId="12" borderId="0" xfId="25" applyFont="1" applyFill="1" applyAlignment="1">
      <alignment horizontal="left" vertical="center"/>
    </xf>
    <xf numFmtId="0" fontId="137" fillId="12" borderId="0" xfId="25" applyFont="1" applyFill="1" applyAlignment="1">
      <alignment horizontal="left" vertical="center" wrapText="1"/>
    </xf>
    <xf numFmtId="0" fontId="135" fillId="0" borderId="0" xfId="25" applyFont="1" applyAlignment="1">
      <alignment horizontal="left" vertical="center" wrapText="1"/>
    </xf>
    <xf numFmtId="1" fontId="0" fillId="0" borderId="8" xfId="0" applyNumberFormat="1" applyBorder="1" applyAlignment="1">
      <alignment horizontal="center"/>
    </xf>
    <xf numFmtId="1" fontId="0" fillId="0" borderId="32" xfId="0" applyNumberFormat="1" applyBorder="1" applyAlignment="1">
      <alignment horizontal="center"/>
    </xf>
    <xf numFmtId="1" fontId="0" fillId="0" borderId="58" xfId="0" applyNumberFormat="1" applyBorder="1" applyAlignment="1">
      <alignment horizontal="center"/>
    </xf>
    <xf numFmtId="1" fontId="0" fillId="0" borderId="35" xfId="0" applyNumberFormat="1" applyBorder="1" applyAlignment="1">
      <alignment horizontal="center"/>
    </xf>
    <xf numFmtId="1" fontId="0" fillId="0" borderId="20" xfId="0" applyNumberFormat="1" applyBorder="1" applyAlignment="1">
      <alignment horizontal="center"/>
    </xf>
    <xf numFmtId="1" fontId="0" fillId="0" borderId="9" xfId="0" applyNumberFormat="1" applyBorder="1" applyAlignment="1">
      <alignment horizontal="center"/>
    </xf>
    <xf numFmtId="1" fontId="0" fillId="0" borderId="36" xfId="0" applyNumberFormat="1" applyBorder="1" applyAlignment="1">
      <alignment horizontal="center"/>
    </xf>
    <xf numFmtId="1" fontId="0" fillId="0" borderId="59" xfId="0" applyNumberFormat="1" applyBorder="1" applyAlignment="1">
      <alignment horizontal="center"/>
    </xf>
    <xf numFmtId="1" fontId="0" fillId="0" borderId="47" xfId="0" applyNumberFormat="1" applyBorder="1" applyAlignment="1">
      <alignment horizontal="center"/>
    </xf>
    <xf numFmtId="0" fontId="60" fillId="0" borderId="0" xfId="10" applyFont="1" applyAlignment="1">
      <alignment horizontal="center"/>
    </xf>
    <xf numFmtId="175" fontId="60" fillId="0" borderId="0" xfId="10" applyNumberFormat="1" applyFont="1" applyAlignment="1">
      <alignment horizontal="center"/>
    </xf>
    <xf numFmtId="0" fontId="91" fillId="18" borderId="71" xfId="30" applyFont="1" applyFill="1" applyBorder="1" applyAlignment="1">
      <alignment horizontal="left" vertical="center"/>
    </xf>
    <xf numFmtId="3" fontId="38" fillId="18" borderId="0" xfId="9" applyNumberFormat="1" applyFill="1" applyAlignment="1">
      <alignment horizontal="center" vertical="center"/>
    </xf>
    <xf numFmtId="3" fontId="38" fillId="18" borderId="14" xfId="9" applyNumberFormat="1" applyFill="1" applyBorder="1" applyAlignment="1">
      <alignment horizontal="center" vertical="center"/>
    </xf>
    <xf numFmtId="0" fontId="38" fillId="18" borderId="0" xfId="9" applyFill="1"/>
    <xf numFmtId="0" fontId="38" fillId="18" borderId="0" xfId="9" applyFill="1" applyAlignment="1">
      <alignment horizontal="center"/>
    </xf>
    <xf numFmtId="0" fontId="91" fillId="18" borderId="72" xfId="30" applyFont="1" applyFill="1" applyBorder="1" applyAlignment="1">
      <alignment horizontal="left" vertical="center"/>
    </xf>
    <xf numFmtId="0" fontId="91" fillId="18" borderId="13" xfId="30" applyFont="1" applyFill="1" applyBorder="1" applyAlignment="1">
      <alignment horizontal="left"/>
    </xf>
    <xf numFmtId="0" fontId="38" fillId="18" borderId="61" xfId="9" applyFill="1" applyBorder="1"/>
    <xf numFmtId="0" fontId="91" fillId="18" borderId="65" xfId="30" applyFont="1" applyFill="1" applyBorder="1" applyAlignment="1">
      <alignment horizontal="left" vertical="center"/>
    </xf>
    <xf numFmtId="3" fontId="38" fillId="18" borderId="17" xfId="9" applyNumberFormat="1" applyFill="1" applyBorder="1" applyAlignment="1">
      <alignment horizontal="center" vertical="center"/>
    </xf>
    <xf numFmtId="0" fontId="91" fillId="0" borderId="0" xfId="30" applyFont="1" applyAlignment="1">
      <alignment horizontal="left"/>
    </xf>
    <xf numFmtId="0" fontId="91" fillId="0" borderId="0" xfId="30" applyFont="1" applyAlignment="1">
      <alignment horizontal="left" wrapText="1"/>
    </xf>
    <xf numFmtId="175" fontId="1" fillId="0" borderId="1" xfId="9" applyNumberFormat="1" applyFont="1" applyBorder="1" applyAlignment="1">
      <alignment horizontal="center" vertical="center"/>
    </xf>
    <xf numFmtId="2" fontId="78" fillId="0" borderId="0" xfId="9" applyNumberFormat="1" applyFont="1" applyAlignment="1">
      <alignment horizontal="center"/>
    </xf>
    <xf numFmtId="168" fontId="96" fillId="0" borderId="1" xfId="9" applyNumberFormat="1" applyFont="1" applyBorder="1" applyAlignment="1">
      <alignment vertical="center"/>
    </xf>
    <xf numFmtId="174" fontId="83" fillId="0" borderId="0" xfId="9" applyNumberFormat="1" applyFont="1" applyAlignment="1">
      <alignment vertical="center"/>
    </xf>
    <xf numFmtId="174" fontId="38" fillId="0" borderId="0" xfId="9" applyNumberFormat="1"/>
    <xf numFmtId="0" fontId="121" fillId="0" borderId="8" xfId="9" applyFont="1" applyBorder="1" applyAlignment="1">
      <alignment horizontal="center" vertical="center" wrapText="1"/>
    </xf>
    <xf numFmtId="0" fontId="121" fillId="0" borderId="1" xfId="9" applyFont="1" applyBorder="1" applyAlignment="1">
      <alignment horizontal="center" vertical="center" wrapText="1"/>
    </xf>
    <xf numFmtId="0" fontId="121" fillId="0" borderId="1" xfId="27" applyFont="1" applyBorder="1" applyAlignment="1">
      <alignment horizontal="center" vertical="center" wrapText="1"/>
    </xf>
    <xf numFmtId="0" fontId="121" fillId="10" borderId="1" xfId="9" applyFont="1" applyFill="1" applyBorder="1" applyAlignment="1">
      <alignment horizontal="center" vertical="center" wrapText="1"/>
    </xf>
    <xf numFmtId="0" fontId="121" fillId="0" borderId="7" xfId="27" applyFont="1" applyBorder="1" applyAlignment="1">
      <alignment horizontal="center" vertical="center" wrapText="1"/>
    </xf>
    <xf numFmtId="0" fontId="121" fillId="11" borderId="9" xfId="9" applyFont="1" applyFill="1" applyBorder="1" applyAlignment="1">
      <alignment horizontal="center" vertical="center" wrapText="1"/>
    </xf>
    <xf numFmtId="0" fontId="121" fillId="0" borderId="8" xfId="27" applyFont="1" applyBorder="1" applyAlignment="1">
      <alignment horizontal="center" vertical="center" wrapText="1"/>
    </xf>
    <xf numFmtId="0" fontId="121" fillId="11" borderId="1" xfId="27" applyFont="1" applyFill="1" applyBorder="1" applyAlignment="1">
      <alignment horizontal="center" vertical="center" wrapText="1"/>
    </xf>
    <xf numFmtId="0" fontId="121" fillId="11" borderId="9" xfId="27" applyFont="1" applyFill="1" applyBorder="1" applyAlignment="1">
      <alignment horizontal="center" vertical="center" wrapText="1"/>
    </xf>
    <xf numFmtId="0" fontId="139" fillId="0" borderId="1" xfId="9" applyFont="1" applyBorder="1" applyAlignment="1">
      <alignment horizontal="center" vertical="center" wrapText="1"/>
    </xf>
    <xf numFmtId="0" fontId="121" fillId="22" borderId="1" xfId="9" applyFont="1" applyFill="1" applyBorder="1" applyAlignment="1">
      <alignment horizontal="center" vertical="center" wrapText="1"/>
    </xf>
    <xf numFmtId="0" fontId="121" fillId="10" borderId="9" xfId="9" applyFont="1" applyFill="1" applyBorder="1" applyAlignment="1">
      <alignment horizontal="center" vertical="center" wrapText="1"/>
    </xf>
    <xf numFmtId="0" fontId="139" fillId="10" borderId="1" xfId="27" applyFont="1" applyFill="1" applyBorder="1" applyAlignment="1">
      <alignment horizontal="center" vertical="center" wrapText="1"/>
    </xf>
    <xf numFmtId="0" fontId="139" fillId="11" borderId="9" xfId="27" applyFont="1" applyFill="1" applyBorder="1" applyAlignment="1">
      <alignment horizontal="center" vertical="center" wrapText="1"/>
    </xf>
    <xf numFmtId="0" fontId="121" fillId="10" borderId="9" xfId="27" applyFont="1" applyFill="1" applyBorder="1" applyAlignment="1">
      <alignment horizontal="center" vertical="center" wrapText="1"/>
    </xf>
    <xf numFmtId="0" fontId="121" fillId="10" borderId="1" xfId="27" applyFont="1" applyFill="1" applyBorder="1" applyAlignment="1">
      <alignment horizontal="center" vertical="center" wrapText="1"/>
    </xf>
    <xf numFmtId="0" fontId="121" fillId="0" borderId="75" xfId="27" applyFont="1" applyBorder="1" applyAlignment="1">
      <alignment horizontal="center" vertical="center" wrapText="1"/>
    </xf>
    <xf numFmtId="0" fontId="121" fillId="0" borderId="5" xfId="9" applyFont="1" applyBorder="1" applyAlignment="1">
      <alignment horizontal="center" vertical="center" wrapText="1"/>
    </xf>
    <xf numFmtId="0" fontId="121" fillId="10" borderId="48" xfId="27" applyFont="1" applyFill="1" applyBorder="1" applyAlignment="1">
      <alignment horizontal="center" vertical="center" wrapText="1"/>
    </xf>
    <xf numFmtId="0" fontId="121" fillId="0" borderId="36" xfId="27" applyFont="1" applyBorder="1" applyAlignment="1">
      <alignment horizontal="center" vertical="center" wrapText="1"/>
    </xf>
    <xf numFmtId="0" fontId="121" fillId="0" borderId="37" xfId="27" applyFont="1" applyBorder="1" applyAlignment="1">
      <alignment horizontal="center" vertical="center" wrapText="1"/>
    </xf>
    <xf numFmtId="0" fontId="139" fillId="0" borderId="37" xfId="27" applyFont="1" applyBorder="1" applyAlignment="1">
      <alignment horizontal="center" vertical="center" wrapText="1"/>
    </xf>
    <xf numFmtId="0" fontId="121" fillId="10" borderId="37" xfId="27" applyFont="1" applyFill="1" applyBorder="1" applyAlignment="1">
      <alignment horizontal="center" vertical="center" wrapText="1"/>
    </xf>
    <xf numFmtId="0" fontId="121" fillId="11" borderId="47" xfId="27" applyFont="1" applyFill="1" applyBorder="1" applyAlignment="1">
      <alignment horizontal="center" vertical="center" wrapText="1"/>
    </xf>
    <xf numFmtId="0" fontId="122" fillId="0" borderId="0" xfId="9" applyFont="1" applyAlignment="1">
      <alignment horizontal="center" vertical="center" wrapText="1"/>
    </xf>
    <xf numFmtId="0" fontId="121" fillId="0" borderId="0" xfId="9" applyFont="1" applyAlignment="1">
      <alignment horizontal="center" vertical="center" wrapText="1"/>
    </xf>
    <xf numFmtId="0" fontId="123" fillId="0" borderId="0" xfId="9" applyFont="1" applyAlignment="1">
      <alignment horizontal="center" vertical="center" wrapText="1"/>
    </xf>
    <xf numFmtId="0" fontId="125" fillId="0" borderId="0" xfId="9" applyFont="1" applyAlignment="1">
      <alignment vertical="center"/>
    </xf>
    <xf numFmtId="0" fontId="7" fillId="0" borderId="0" xfId="5" applyFont="1"/>
    <xf numFmtId="0" fontId="141" fillId="0" borderId="0" xfId="31"/>
    <xf numFmtId="0" fontId="65" fillId="0" borderId="56" xfId="31" applyFont="1" applyBorder="1" applyAlignment="1">
      <alignment horizontal="right" vertical="center"/>
    </xf>
    <xf numFmtId="0" fontId="141" fillId="0" borderId="32" xfId="31" applyBorder="1" applyAlignment="1">
      <alignment horizontal="center"/>
    </xf>
    <xf numFmtId="0" fontId="141" fillId="0" borderId="33" xfId="31" applyBorder="1" applyAlignment="1">
      <alignment horizontal="center"/>
    </xf>
    <xf numFmtId="0" fontId="141" fillId="0" borderId="35" xfId="31" applyBorder="1" applyAlignment="1">
      <alignment horizontal="center"/>
    </xf>
    <xf numFmtId="0" fontId="141" fillId="0" borderId="57" xfId="31" applyBorder="1" applyAlignment="1">
      <alignment horizontal="right"/>
    </xf>
    <xf numFmtId="0" fontId="141" fillId="11" borderId="8" xfId="31" applyFill="1" applyBorder="1" applyAlignment="1">
      <alignment horizontal="center" vertical="center"/>
    </xf>
    <xf numFmtId="0" fontId="141" fillId="11" borderId="1" xfId="31" applyFill="1" applyBorder="1" applyAlignment="1">
      <alignment horizontal="center" vertical="center"/>
    </xf>
    <xf numFmtId="0" fontId="141" fillId="10" borderId="9" xfId="31" applyFill="1" applyBorder="1" applyAlignment="1">
      <alignment horizontal="center" vertical="center"/>
    </xf>
    <xf numFmtId="0" fontId="141" fillId="10" borderId="1" xfId="31" applyFill="1" applyBorder="1" applyAlignment="1">
      <alignment horizontal="center" vertical="center"/>
    </xf>
    <xf numFmtId="0" fontId="141" fillId="22" borderId="9" xfId="31" applyFill="1" applyBorder="1" applyAlignment="1">
      <alignment horizontal="center" vertical="center"/>
    </xf>
    <xf numFmtId="0" fontId="141" fillId="22" borderId="1" xfId="31" applyFill="1" applyBorder="1" applyAlignment="1">
      <alignment horizontal="center" vertical="center"/>
    </xf>
    <xf numFmtId="0" fontId="141" fillId="25" borderId="1" xfId="31" applyFill="1" applyBorder="1" applyAlignment="1">
      <alignment horizontal="center" vertical="center"/>
    </xf>
    <xf numFmtId="0" fontId="141" fillId="25" borderId="9" xfId="31" applyFill="1" applyBorder="1" applyAlignment="1">
      <alignment horizontal="center" vertical="center"/>
    </xf>
    <xf numFmtId="0" fontId="141" fillId="0" borderId="65" xfId="31" applyBorder="1" applyAlignment="1">
      <alignment horizontal="right"/>
    </xf>
    <xf numFmtId="0" fontId="141" fillId="10" borderId="36" xfId="31" applyFill="1" applyBorder="1" applyAlignment="1">
      <alignment horizontal="center" vertical="center"/>
    </xf>
    <xf numFmtId="0" fontId="141" fillId="22" borderId="37" xfId="31" applyFill="1" applyBorder="1" applyAlignment="1">
      <alignment horizontal="center" vertical="center"/>
    </xf>
    <xf numFmtId="0" fontId="141" fillId="25" borderId="37" xfId="31" applyFill="1" applyBorder="1" applyAlignment="1">
      <alignment horizontal="center" vertical="center"/>
    </xf>
    <xf numFmtId="0" fontId="141" fillId="25" borderId="47" xfId="31" applyFill="1" applyBorder="1" applyAlignment="1">
      <alignment horizontal="center" vertical="center"/>
    </xf>
    <xf numFmtId="0" fontId="19" fillId="0" borderId="49" xfId="25" applyFont="1" applyBorder="1" applyAlignment="1">
      <alignment horizontal="center" vertical="center"/>
    </xf>
    <xf numFmtId="0" fontId="19" fillId="0" borderId="46" xfId="25" applyFont="1" applyBorder="1" applyAlignment="1">
      <alignment horizontal="center" vertical="center"/>
    </xf>
    <xf numFmtId="0" fontId="6" fillId="0" borderId="44" xfId="25" applyBorder="1" applyAlignment="1">
      <alignment horizontal="center" vertical="center"/>
    </xf>
    <xf numFmtId="10" fontId="0" fillId="0" borderId="35" xfId="2" applyNumberFormat="1" applyFont="1" applyBorder="1" applyAlignment="1">
      <alignment horizontal="center" vertical="center"/>
    </xf>
    <xf numFmtId="10" fontId="0" fillId="0" borderId="9" xfId="2" applyNumberFormat="1" applyFont="1" applyBorder="1" applyAlignment="1">
      <alignment horizontal="center" vertical="center"/>
    </xf>
    <xf numFmtId="10" fontId="0" fillId="0" borderId="47" xfId="2" applyNumberFormat="1" applyFont="1" applyBorder="1" applyAlignment="1">
      <alignment horizontal="center" vertical="center"/>
    </xf>
    <xf numFmtId="0" fontId="19" fillId="0" borderId="36" xfId="25" applyFont="1" applyBorder="1" applyAlignment="1">
      <alignment horizontal="center" vertical="center"/>
    </xf>
    <xf numFmtId="0" fontId="19" fillId="0" borderId="8" xfId="25" applyFont="1" applyBorder="1" applyAlignment="1">
      <alignment horizontal="center" vertical="center"/>
    </xf>
    <xf numFmtId="0" fontId="19" fillId="0" borderId="32" xfId="25" applyFont="1" applyBorder="1" applyAlignment="1">
      <alignment horizontal="center" vertical="center"/>
    </xf>
    <xf numFmtId="0" fontId="7" fillId="0" borderId="80" xfId="25" applyFont="1" applyBorder="1" applyAlignment="1">
      <alignment horizontal="center" vertical="center" wrapText="1"/>
    </xf>
    <xf numFmtId="9" fontId="7" fillId="0" borderId="78" xfId="25" applyNumberFormat="1" applyFont="1" applyBorder="1" applyAlignment="1">
      <alignment horizontal="center" vertical="center" wrapText="1"/>
    </xf>
    <xf numFmtId="0" fontId="7" fillId="0" borderId="77" xfId="25" applyFont="1" applyBorder="1" applyAlignment="1">
      <alignment horizontal="center" vertical="center" wrapText="1"/>
    </xf>
    <xf numFmtId="9" fontId="7" fillId="0" borderId="30" xfId="25" applyNumberFormat="1" applyFont="1" applyBorder="1" applyAlignment="1">
      <alignment horizontal="center" vertical="center" wrapText="1"/>
    </xf>
    <xf numFmtId="0" fontId="7" fillId="0" borderId="52" xfId="25" applyFont="1" applyBorder="1" applyAlignment="1">
      <alignment horizontal="center" vertical="center" wrapText="1"/>
    </xf>
    <xf numFmtId="9" fontId="7" fillId="0" borderId="50" xfId="25" applyNumberFormat="1" applyFont="1" applyBorder="1" applyAlignment="1">
      <alignment horizontal="center" vertical="center" wrapText="1"/>
    </xf>
    <xf numFmtId="0" fontId="7" fillId="0" borderId="30" xfId="25" applyFont="1" applyBorder="1" applyAlignment="1">
      <alignment horizontal="center" vertical="center" wrapText="1"/>
    </xf>
    <xf numFmtId="0" fontId="7" fillId="0" borderId="50" xfId="25" applyFont="1" applyBorder="1" applyAlignment="1">
      <alignment horizontal="center" vertical="center" wrapText="1"/>
    </xf>
    <xf numFmtId="0" fontId="7" fillId="0" borderId="78" xfId="25" applyFont="1" applyBorder="1" applyAlignment="1">
      <alignment horizontal="center" vertical="center" wrapText="1"/>
    </xf>
    <xf numFmtId="0" fontId="10" fillId="21" borderId="77" xfId="25" applyFont="1" applyFill="1" applyBorder="1" applyAlignment="1">
      <alignment horizontal="center" vertical="center" wrapText="1"/>
    </xf>
    <xf numFmtId="0" fontId="10" fillId="21" borderId="30" xfId="25" applyFont="1" applyFill="1" applyBorder="1" applyAlignment="1">
      <alignment horizontal="center" vertical="center" wrapText="1"/>
    </xf>
    <xf numFmtId="0" fontId="118" fillId="0" borderId="0" xfId="25" applyFont="1" applyAlignment="1">
      <alignment vertical="center" wrapText="1"/>
    </xf>
    <xf numFmtId="0" fontId="10" fillId="21" borderId="101" xfId="25" applyFont="1" applyFill="1" applyBorder="1" applyAlignment="1">
      <alignment horizontal="center" vertical="center" wrapText="1"/>
    </xf>
    <xf numFmtId="9" fontId="7" fillId="0" borderId="79" xfId="25" applyNumberFormat="1" applyFont="1" applyBorder="1" applyAlignment="1">
      <alignment horizontal="center" vertical="center" wrapText="1"/>
    </xf>
    <xf numFmtId="0" fontId="10" fillId="23" borderId="29" xfId="25" applyFont="1" applyFill="1" applyBorder="1" applyAlignment="1">
      <alignment vertical="center" wrapText="1"/>
    </xf>
    <xf numFmtId="9" fontId="7" fillId="0" borderId="101" xfId="25" applyNumberFormat="1" applyFont="1" applyBorder="1" applyAlignment="1">
      <alignment horizontal="center" vertical="center" wrapText="1"/>
    </xf>
    <xf numFmtId="9" fontId="7" fillId="0" borderId="54" xfId="25" applyNumberFormat="1" applyFont="1" applyBorder="1" applyAlignment="1">
      <alignment horizontal="center" vertical="center" wrapText="1"/>
    </xf>
    <xf numFmtId="0" fontId="11" fillId="9" borderId="1" xfId="0" applyFont="1" applyFill="1" applyBorder="1" applyAlignment="1">
      <alignment horizontal="left" vertical="center" wrapText="1"/>
    </xf>
    <xf numFmtId="0" fontId="0" fillId="9" borderId="1" xfId="0" applyFill="1" applyBorder="1" applyAlignment="1">
      <alignment horizontal="left" vertical="center" wrapText="1"/>
    </xf>
    <xf numFmtId="0" fontId="0" fillId="9" borderId="1" xfId="0" applyFill="1" applyBorder="1" applyAlignment="1">
      <alignment horizontal="left"/>
    </xf>
    <xf numFmtId="0" fontId="11" fillId="8" borderId="1" xfId="0" applyFont="1" applyFill="1" applyBorder="1" applyAlignment="1">
      <alignment horizontal="left" vertical="center" wrapText="1"/>
    </xf>
    <xf numFmtId="0" fontId="0" fillId="0" borderId="1" xfId="0" applyBorder="1" applyAlignment="1">
      <alignment horizontal="left" vertical="center" wrapText="1"/>
    </xf>
    <xf numFmtId="0" fontId="10" fillId="8" borderId="1" xfId="0" applyFont="1" applyFill="1" applyBorder="1" applyAlignment="1">
      <alignment horizontal="left" vertical="center" wrapText="1"/>
    </xf>
    <xf numFmtId="0" fontId="0" fillId="8" borderId="1" xfId="0" applyFill="1" applyBorder="1" applyAlignment="1">
      <alignment horizontal="left" vertical="center" wrapText="1"/>
    </xf>
    <xf numFmtId="0" fontId="33" fillId="9" borderId="4" xfId="0" applyFont="1" applyFill="1" applyBorder="1" applyAlignment="1">
      <alignment horizontal="left" vertical="center" wrapText="1"/>
    </xf>
    <xf numFmtId="0" fontId="32" fillId="9" borderId="20" xfId="0" applyFont="1" applyFill="1" applyBorder="1" applyAlignment="1">
      <alignment vertical="center"/>
    </xf>
    <xf numFmtId="0" fontId="32" fillId="9" borderId="7" xfId="0" applyFont="1" applyFill="1" applyBorder="1" applyAlignment="1">
      <alignment vertical="center"/>
    </xf>
    <xf numFmtId="0" fontId="10" fillId="9" borderId="1" xfId="0" applyFont="1" applyFill="1" applyBorder="1" applyAlignment="1">
      <alignment horizontal="center" vertical="center" wrapText="1"/>
    </xf>
    <xf numFmtId="0" fontId="10" fillId="9" borderId="5" xfId="0" applyFont="1" applyFill="1" applyBorder="1" applyAlignment="1">
      <alignment vertical="center" wrapText="1"/>
    </xf>
    <xf numFmtId="0" fontId="0" fillId="0" borderId="3" xfId="0" applyBorder="1" applyAlignment="1">
      <alignment vertical="center" wrapText="1"/>
    </xf>
    <xf numFmtId="0" fontId="0" fillId="0" borderId="1" xfId="0" applyBorder="1" applyAlignment="1">
      <alignment horizontal="left"/>
    </xf>
    <xf numFmtId="0" fontId="10" fillId="8" borderId="4" xfId="0" applyFont="1" applyFill="1" applyBorder="1" applyAlignment="1">
      <alignment horizontal="center" vertical="center"/>
    </xf>
    <xf numFmtId="0" fontId="0" fillId="0" borderId="20" xfId="0" applyBorder="1" applyAlignment="1">
      <alignment horizontal="center" vertical="center"/>
    </xf>
    <xf numFmtId="0" fontId="0" fillId="0" borderId="7" xfId="0" applyBorder="1" applyAlignment="1">
      <alignment horizontal="center" vertical="center"/>
    </xf>
    <xf numFmtId="0" fontId="11" fillId="8" borderId="1" xfId="0" applyFont="1" applyFill="1" applyBorder="1" applyAlignment="1">
      <alignment horizontal="left" vertical="center"/>
    </xf>
    <xf numFmtId="0" fontId="0" fillId="8" borderId="1" xfId="0" applyFill="1" applyBorder="1" applyAlignment="1">
      <alignment horizontal="left"/>
    </xf>
    <xf numFmtId="0" fontId="11" fillId="9" borderId="1" xfId="0" applyFont="1" applyFill="1" applyBorder="1" applyAlignment="1">
      <alignment horizontal="left" vertical="center"/>
    </xf>
    <xf numFmtId="0" fontId="10" fillId="9" borderId="1" xfId="0" applyFont="1" applyFill="1" applyBorder="1" applyAlignment="1">
      <alignment horizontal="left" vertical="center"/>
    </xf>
    <xf numFmtId="0" fontId="10" fillId="9" borderId="1" xfId="0" applyFont="1" applyFill="1" applyBorder="1" applyAlignment="1">
      <alignment horizontal="left" vertical="center" wrapText="1"/>
    </xf>
    <xf numFmtId="0" fontId="32" fillId="9" borderId="1" xfId="0" applyFont="1" applyFill="1" applyBorder="1" applyAlignment="1">
      <alignment horizontal="left" vertical="center" wrapText="1"/>
    </xf>
    <xf numFmtId="14" fontId="41" fillId="0" borderId="0" xfId="14" applyNumberFormat="1" applyFont="1"/>
    <xf numFmtId="0" fontId="42" fillId="0" borderId="0" xfId="14" applyFont="1"/>
    <xf numFmtId="0" fontId="43" fillId="0" borderId="0" xfId="14" applyFont="1"/>
    <xf numFmtId="0" fontId="45" fillId="0" borderId="0" xfId="14" applyFont="1" applyAlignment="1">
      <alignment horizontal="center"/>
    </xf>
    <xf numFmtId="0" fontId="46" fillId="0" borderId="0" xfId="14" applyFont="1"/>
    <xf numFmtId="0" fontId="41" fillId="0" borderId="21" xfId="14" applyFont="1" applyBorder="1" applyAlignment="1">
      <alignment horizontal="center"/>
    </xf>
    <xf numFmtId="0" fontId="43" fillId="0" borderId="21" xfId="14" applyFont="1" applyBorder="1"/>
    <xf numFmtId="0" fontId="52" fillId="0" borderId="0" xfId="14" applyFont="1"/>
    <xf numFmtId="0" fontId="38" fillId="0" borderId="0" xfId="9" applyAlignment="1">
      <alignment horizontal="left" vertical="center"/>
    </xf>
    <xf numFmtId="0" fontId="10" fillId="9" borderId="1" xfId="9" applyFont="1" applyFill="1" applyBorder="1" applyAlignment="1">
      <alignment horizontal="center" vertical="center" wrapText="1"/>
    </xf>
    <xf numFmtId="0" fontId="10" fillId="9" borderId="5" xfId="9" applyFont="1" applyFill="1" applyBorder="1" applyAlignment="1">
      <alignment horizontal="center" vertical="center" wrapText="1"/>
    </xf>
    <xf numFmtId="0" fontId="10" fillId="9" borderId="3" xfId="9" applyFont="1" applyFill="1" applyBorder="1" applyAlignment="1">
      <alignment horizontal="center" vertical="center" wrapText="1"/>
    </xf>
    <xf numFmtId="0" fontId="10" fillId="0" borderId="44" xfId="9" applyFont="1" applyBorder="1" applyAlignment="1">
      <alignment horizontal="center" vertical="center"/>
    </xf>
    <xf numFmtId="0" fontId="10" fillId="0" borderId="46" xfId="9" applyFont="1" applyBorder="1" applyAlignment="1">
      <alignment horizontal="center" vertical="center"/>
    </xf>
    <xf numFmtId="0" fontId="80" fillId="0" borderId="32" xfId="9" applyFont="1" applyBorder="1" applyAlignment="1">
      <alignment horizontal="center" vertical="center" wrapText="1"/>
    </xf>
    <xf numFmtId="0" fontId="80" fillId="0" borderId="35" xfId="9" applyFont="1" applyBorder="1" applyAlignment="1">
      <alignment horizontal="center" vertical="center"/>
    </xf>
    <xf numFmtId="0" fontId="38" fillId="0" borderId="0" xfId="9" applyAlignment="1">
      <alignment horizontal="center" vertical="center"/>
    </xf>
    <xf numFmtId="0" fontId="64" fillId="8" borderId="10" xfId="9" applyFont="1" applyFill="1" applyBorder="1" applyAlignment="1">
      <alignment horizontal="left" vertical="center"/>
    </xf>
    <xf numFmtId="0" fontId="64" fillId="8" borderId="12" xfId="9" applyFont="1" applyFill="1" applyBorder="1" applyAlignment="1">
      <alignment horizontal="left" vertical="center"/>
    </xf>
    <xf numFmtId="0" fontId="64" fillId="8" borderId="11" xfId="9" applyFont="1" applyFill="1" applyBorder="1" applyAlignment="1">
      <alignment horizontal="left" vertical="center"/>
    </xf>
    <xf numFmtId="0" fontId="64" fillId="8" borderId="15" xfId="9" applyFont="1" applyFill="1" applyBorder="1" applyAlignment="1">
      <alignment horizontal="left" vertical="center"/>
    </xf>
    <xf numFmtId="0" fontId="64" fillId="8" borderId="16" xfId="9" applyFont="1" applyFill="1" applyBorder="1" applyAlignment="1">
      <alignment horizontal="left" vertical="center"/>
    </xf>
    <xf numFmtId="0" fontId="64" fillId="8" borderId="17" xfId="9" applyFont="1" applyFill="1" applyBorder="1" applyAlignment="1">
      <alignment horizontal="left" vertical="center"/>
    </xf>
    <xf numFmtId="0" fontId="76" fillId="0" borderId="27" xfId="9" applyFont="1" applyBorder="1" applyAlignment="1">
      <alignment horizontal="left" vertical="center"/>
    </xf>
    <xf numFmtId="0" fontId="76" fillId="0" borderId="28" xfId="9" applyFont="1" applyBorder="1" applyAlignment="1">
      <alignment horizontal="left" vertical="center"/>
    </xf>
    <xf numFmtId="0" fontId="76" fillId="0" borderId="29" xfId="9" applyFont="1" applyBorder="1" applyAlignment="1">
      <alignment horizontal="left" vertical="center"/>
    </xf>
    <xf numFmtId="0" fontId="38" fillId="0" borderId="0" xfId="9" applyAlignment="1">
      <alignment horizontal="left"/>
    </xf>
    <xf numFmtId="0" fontId="38" fillId="0" borderId="0" xfId="9" applyAlignment="1">
      <alignment vertical="center"/>
    </xf>
    <xf numFmtId="1" fontId="38" fillId="0" borderId="0" xfId="9" applyNumberFormat="1" applyAlignment="1">
      <alignment horizontal="center" vertical="center"/>
    </xf>
    <xf numFmtId="0" fontId="38" fillId="0" borderId="0" xfId="9" applyAlignment="1">
      <alignment horizontal="center"/>
    </xf>
    <xf numFmtId="49" fontId="38" fillId="0" borderId="0" xfId="9" applyNumberFormat="1" applyAlignment="1">
      <alignment horizontal="center" vertical="center"/>
    </xf>
    <xf numFmtId="0" fontId="80" fillId="0" borderId="56" xfId="9" applyFont="1" applyBorder="1" applyAlignment="1">
      <alignment horizontal="center" vertical="center" wrapText="1"/>
    </xf>
    <xf numFmtId="0" fontId="80" fillId="0" borderId="58" xfId="9" applyFont="1" applyBorder="1" applyAlignment="1">
      <alignment horizontal="center" vertical="center"/>
    </xf>
    <xf numFmtId="0" fontId="80" fillId="0" borderId="55" xfId="9" applyFont="1" applyBorder="1" applyAlignment="1">
      <alignment horizontal="center" vertical="center"/>
    </xf>
    <xf numFmtId="0" fontId="76" fillId="0" borderId="27" xfId="9" applyFont="1" applyBorder="1" applyAlignment="1">
      <alignment horizontal="left"/>
    </xf>
    <xf numFmtId="0" fontId="76" fillId="0" borderId="28" xfId="9" applyFont="1" applyBorder="1" applyAlignment="1">
      <alignment horizontal="left"/>
    </xf>
    <xf numFmtId="0" fontId="64" fillId="17" borderId="10" xfId="9" applyFont="1" applyFill="1" applyBorder="1" applyAlignment="1">
      <alignment horizontal="left" vertical="center"/>
    </xf>
    <xf numFmtId="0" fontId="64" fillId="17" borderId="12" xfId="9" applyFont="1" applyFill="1" applyBorder="1" applyAlignment="1">
      <alignment horizontal="left" vertical="center"/>
    </xf>
    <xf numFmtId="0" fontId="64" fillId="17" borderId="11" xfId="9" applyFont="1" applyFill="1" applyBorder="1" applyAlignment="1">
      <alignment horizontal="left" vertical="center"/>
    </xf>
    <xf numFmtId="0" fontId="64" fillId="17" borderId="15" xfId="9" applyFont="1" applyFill="1" applyBorder="1" applyAlignment="1">
      <alignment horizontal="left" vertical="center"/>
    </xf>
    <xf numFmtId="0" fontId="64" fillId="17" borderId="16" xfId="9" applyFont="1" applyFill="1" applyBorder="1" applyAlignment="1">
      <alignment horizontal="left" vertical="center"/>
    </xf>
    <xf numFmtId="0" fontId="64" fillId="17" borderId="17" xfId="9" applyFont="1" applyFill="1" applyBorder="1" applyAlignment="1">
      <alignment horizontal="left" vertical="center"/>
    </xf>
    <xf numFmtId="0" fontId="76" fillId="0" borderId="29" xfId="9" applyFont="1" applyBorder="1" applyAlignment="1">
      <alignment horizontal="left"/>
    </xf>
    <xf numFmtId="0" fontId="64" fillId="16" borderId="10" xfId="9" applyFont="1" applyFill="1" applyBorder="1" applyAlignment="1">
      <alignment horizontal="left" vertical="center"/>
    </xf>
    <xf numFmtId="0" fontId="64" fillId="16" borderId="12" xfId="9" applyFont="1" applyFill="1" applyBorder="1" applyAlignment="1">
      <alignment horizontal="left" vertical="center"/>
    </xf>
    <xf numFmtId="0" fontId="64" fillId="16" borderId="11" xfId="9" applyFont="1" applyFill="1" applyBorder="1" applyAlignment="1">
      <alignment horizontal="left" vertical="center"/>
    </xf>
    <xf numFmtId="0" fontId="64" fillId="16" borderId="15" xfId="9" applyFont="1" applyFill="1" applyBorder="1" applyAlignment="1">
      <alignment horizontal="left" vertical="center"/>
    </xf>
    <xf numFmtId="0" fontId="64" fillId="16" borderId="16" xfId="9" applyFont="1" applyFill="1" applyBorder="1" applyAlignment="1">
      <alignment horizontal="left" vertical="center"/>
    </xf>
    <xf numFmtId="0" fontId="64" fillId="16" borderId="17" xfId="9" applyFont="1" applyFill="1" applyBorder="1" applyAlignment="1">
      <alignment horizontal="left" vertical="center"/>
    </xf>
    <xf numFmtId="0" fontId="0" fillId="0" borderId="44" xfId="0" applyBorder="1" applyAlignment="1">
      <alignment horizontal="center" vertical="center"/>
    </xf>
    <xf numFmtId="0" fontId="0" fillId="0" borderId="51" xfId="0" applyBorder="1" applyAlignment="1">
      <alignment horizontal="center" vertical="center"/>
    </xf>
    <xf numFmtId="0" fontId="98" fillId="0" borderId="56" xfId="0" applyFont="1" applyBorder="1" applyAlignment="1">
      <alignment horizontal="center" vertical="center"/>
    </xf>
    <xf numFmtId="0" fontId="98" fillId="0" borderId="65" xfId="0" applyFont="1" applyBorder="1" applyAlignment="1">
      <alignment horizontal="center" vertical="center"/>
    </xf>
    <xf numFmtId="0" fontId="67" fillId="0" borderId="15" xfId="0" applyFont="1" applyBorder="1" applyAlignment="1">
      <alignment horizontal="right" vertical="center"/>
    </xf>
    <xf numFmtId="0" fontId="67" fillId="0" borderId="17" xfId="0" applyFont="1" applyBorder="1" applyAlignment="1">
      <alignment horizontal="right" vertical="center"/>
    </xf>
    <xf numFmtId="0" fontId="0" fillId="0" borderId="49" xfId="0" applyBorder="1" applyAlignment="1">
      <alignment horizontal="center" vertical="center"/>
    </xf>
    <xf numFmtId="0" fontId="0" fillId="0" borderId="46" xfId="0" applyBorder="1" applyAlignment="1">
      <alignment horizontal="center" vertical="center"/>
    </xf>
    <xf numFmtId="0" fontId="65" fillId="0" borderId="44" xfId="0" applyFont="1" applyBorder="1" applyAlignment="1">
      <alignment horizontal="center" vertical="center"/>
    </xf>
    <xf numFmtId="0" fontId="65" fillId="0" borderId="46" xfId="0" applyFont="1" applyBorder="1" applyAlignment="1">
      <alignment horizontal="center" vertical="center"/>
    </xf>
    <xf numFmtId="0" fontId="65" fillId="0" borderId="32" xfId="0" applyFont="1" applyBorder="1" applyAlignment="1">
      <alignment horizontal="center" vertical="center"/>
    </xf>
    <xf numFmtId="0" fontId="65" fillId="0" borderId="33" xfId="0" applyFont="1" applyBorder="1" applyAlignment="1">
      <alignment horizontal="center" vertical="center"/>
    </xf>
    <xf numFmtId="0" fontId="65" fillId="0" borderId="35" xfId="0" applyFont="1" applyBorder="1" applyAlignment="1">
      <alignment horizontal="center" vertical="center"/>
    </xf>
    <xf numFmtId="0" fontId="65" fillId="0" borderId="45" xfId="0" applyFont="1" applyBorder="1" applyAlignment="1">
      <alignment horizontal="center" wrapText="1"/>
    </xf>
    <xf numFmtId="0" fontId="65" fillId="0" borderId="33" xfId="0" applyFont="1" applyBorder="1" applyAlignment="1">
      <alignment horizontal="center"/>
    </xf>
    <xf numFmtId="0" fontId="65" fillId="0" borderId="35" xfId="0" applyFont="1" applyBorder="1" applyAlignment="1">
      <alignment horizontal="center"/>
    </xf>
    <xf numFmtId="172" fontId="63" fillId="0" borderId="67" xfId="9" applyNumberFormat="1" applyFont="1" applyBorder="1" applyAlignment="1">
      <alignment horizontal="right"/>
    </xf>
    <xf numFmtId="172" fontId="63" fillId="0" borderId="68" xfId="9" applyNumberFormat="1" applyFont="1" applyBorder="1" applyAlignment="1">
      <alignment horizontal="right"/>
    </xf>
    <xf numFmtId="172" fontId="63" fillId="0" borderId="69" xfId="9" applyNumberFormat="1" applyFont="1" applyBorder="1" applyAlignment="1">
      <alignment horizontal="right"/>
    </xf>
    <xf numFmtId="172" fontId="63" fillId="0" borderId="70" xfId="9" applyNumberFormat="1" applyFont="1" applyBorder="1" applyAlignment="1">
      <alignment horizontal="right"/>
    </xf>
    <xf numFmtId="0" fontId="62" fillId="0" borderId="5" xfId="9" applyFont="1" applyBorder="1" applyAlignment="1">
      <alignment horizontal="center" wrapText="1"/>
    </xf>
    <xf numFmtId="0" fontId="62" fillId="0" borderId="30" xfId="9" applyFont="1" applyBorder="1" applyAlignment="1">
      <alignment horizontal="center"/>
    </xf>
    <xf numFmtId="0" fontId="62" fillId="0" borderId="3" xfId="9" applyFont="1" applyBorder="1" applyAlignment="1">
      <alignment horizontal="center"/>
    </xf>
    <xf numFmtId="3" fontId="62" fillId="0" borderId="5" xfId="9" applyNumberFormat="1" applyFont="1" applyBorder="1" applyAlignment="1">
      <alignment horizontal="center" wrapText="1"/>
    </xf>
    <xf numFmtId="0" fontId="64" fillId="13" borderId="10" xfId="9" applyFont="1" applyFill="1" applyBorder="1" applyAlignment="1">
      <alignment horizontal="left" vertical="center"/>
    </xf>
    <xf numFmtId="0" fontId="64" fillId="13" borderId="12" xfId="9" applyFont="1" applyFill="1" applyBorder="1" applyAlignment="1">
      <alignment horizontal="left" vertical="center"/>
    </xf>
    <xf numFmtId="0" fontId="64" fillId="13" borderId="11" xfId="9" applyFont="1" applyFill="1" applyBorder="1" applyAlignment="1">
      <alignment horizontal="left" vertical="center"/>
    </xf>
    <xf numFmtId="0" fontId="64" fillId="13" borderId="15" xfId="9" applyFont="1" applyFill="1" applyBorder="1" applyAlignment="1">
      <alignment horizontal="left" vertical="center"/>
    </xf>
    <xf numFmtId="0" fontId="64" fillId="13" borderId="16" xfId="9" applyFont="1" applyFill="1" applyBorder="1" applyAlignment="1">
      <alignment horizontal="left" vertical="center"/>
    </xf>
    <xf numFmtId="0" fontId="64" fillId="13" borderId="17" xfId="9" applyFont="1" applyFill="1" applyBorder="1" applyAlignment="1">
      <alignment horizontal="left" vertical="center"/>
    </xf>
    <xf numFmtId="0" fontId="65" fillId="0" borderId="32" xfId="9" applyFont="1" applyBorder="1" applyAlignment="1">
      <alignment horizontal="center" vertical="center"/>
    </xf>
    <xf numFmtId="0" fontId="65" fillId="0" borderId="36" xfId="9" applyFont="1" applyBorder="1" applyAlignment="1">
      <alignment horizontal="center" vertical="center"/>
    </xf>
    <xf numFmtId="0" fontId="65" fillId="0" borderId="33" xfId="9" applyFont="1" applyBorder="1" applyAlignment="1">
      <alignment horizontal="center" vertical="center"/>
    </xf>
    <xf numFmtId="0" fontId="65" fillId="0" borderId="34" xfId="9" applyFont="1" applyBorder="1" applyAlignment="1">
      <alignment horizontal="center" vertical="center"/>
    </xf>
    <xf numFmtId="0" fontId="61" fillId="0" borderId="27" xfId="9" applyFont="1" applyBorder="1" applyAlignment="1">
      <alignment horizontal="left" vertical="center"/>
    </xf>
    <xf numFmtId="0" fontId="61" fillId="0" borderId="28" xfId="9" applyFont="1" applyBorder="1" applyAlignment="1">
      <alignment horizontal="left" vertical="center"/>
    </xf>
    <xf numFmtId="0" fontId="61" fillId="0" borderId="29" xfId="9" applyFont="1" applyBorder="1" applyAlignment="1">
      <alignment horizontal="left" vertical="center"/>
    </xf>
    <xf numFmtId="0" fontId="62" fillId="0" borderId="22" xfId="9" applyFont="1" applyBorder="1" applyAlignment="1">
      <alignment horizontal="center"/>
    </xf>
    <xf numFmtId="0" fontId="62" fillId="0" borderId="19" xfId="9" applyFont="1" applyBorder="1" applyAlignment="1">
      <alignment horizontal="center"/>
    </xf>
    <xf numFmtId="0" fontId="62" fillId="0" borderId="23" xfId="9" applyFont="1" applyBorder="1" applyAlignment="1">
      <alignment horizontal="center"/>
    </xf>
    <xf numFmtId="0" fontId="62" fillId="0" borderId="24" xfId="9" applyFont="1" applyBorder="1" applyAlignment="1">
      <alignment horizontal="center"/>
    </xf>
    <xf numFmtId="0" fontId="62" fillId="0" borderId="25" xfId="9" applyFont="1" applyBorder="1" applyAlignment="1">
      <alignment horizontal="center"/>
    </xf>
    <xf numFmtId="0" fontId="62" fillId="0" borderId="26" xfId="9" applyFont="1" applyBorder="1" applyAlignment="1">
      <alignment horizontal="center"/>
    </xf>
    <xf numFmtId="172" fontId="62" fillId="0" borderId="4" xfId="9" applyNumberFormat="1" applyFont="1" applyBorder="1" applyAlignment="1">
      <alignment horizontal="right"/>
    </xf>
    <xf numFmtId="172" fontId="62" fillId="0" borderId="7" xfId="9" applyNumberFormat="1" applyFont="1" applyBorder="1" applyAlignment="1">
      <alignment horizontal="right"/>
    </xf>
    <xf numFmtId="172" fontId="63" fillId="0" borderId="4" xfId="9" applyNumberFormat="1" applyFont="1" applyBorder="1" applyAlignment="1">
      <alignment horizontal="right"/>
    </xf>
    <xf numFmtId="172" fontId="63" fillId="0" borderId="7" xfId="9" applyNumberFormat="1" applyFont="1" applyBorder="1" applyAlignment="1">
      <alignment horizontal="right"/>
    </xf>
    <xf numFmtId="0" fontId="65" fillId="0" borderId="32" xfId="9" applyFont="1" applyBorder="1" applyAlignment="1">
      <alignment horizontal="center" vertical="center" wrapText="1"/>
    </xf>
    <xf numFmtId="0" fontId="65" fillId="0" borderId="35" xfId="9" applyFont="1" applyBorder="1" applyAlignment="1">
      <alignment horizontal="center" vertical="center"/>
    </xf>
    <xf numFmtId="0" fontId="10" fillId="0" borderId="0" xfId="0" applyFont="1" applyAlignment="1">
      <alignment horizontal="center"/>
    </xf>
    <xf numFmtId="0" fontId="88" fillId="0" borderId="0" xfId="9" applyFont="1" applyAlignment="1">
      <alignment horizontal="right"/>
    </xf>
    <xf numFmtId="0" fontId="38" fillId="18" borderId="20" xfId="9" applyFill="1" applyBorder="1" applyAlignment="1">
      <alignment horizontal="center" vertical="center"/>
    </xf>
    <xf numFmtId="0" fontId="38" fillId="18" borderId="21" xfId="9" applyFill="1" applyBorder="1" applyAlignment="1">
      <alignment horizontal="center" vertical="center"/>
    </xf>
    <xf numFmtId="168" fontId="93" fillId="0" borderId="4" xfId="9" applyNumberFormat="1" applyFont="1" applyBorder="1" applyAlignment="1">
      <alignment horizontal="center"/>
    </xf>
    <xf numFmtId="168" fontId="93" fillId="0" borderId="7" xfId="9" applyNumberFormat="1" applyFont="1" applyBorder="1" applyAlignment="1">
      <alignment horizontal="center"/>
    </xf>
    <xf numFmtId="0" fontId="38" fillId="18" borderId="18" xfId="9" applyFill="1" applyBorder="1" applyAlignment="1">
      <alignment horizontal="center" vertical="center"/>
    </xf>
    <xf numFmtId="0" fontId="38" fillId="18" borderId="59" xfId="9" applyFill="1" applyBorder="1" applyAlignment="1">
      <alignment horizontal="center" vertical="center"/>
    </xf>
    <xf numFmtId="0" fontId="92" fillId="0" borderId="0" xfId="9" applyFont="1" applyAlignment="1">
      <alignment horizontal="center" vertical="center"/>
    </xf>
    <xf numFmtId="0" fontId="83" fillId="0" borderId="0" xfId="9" applyFont="1" applyAlignment="1">
      <alignment horizontal="center" vertical="center"/>
    </xf>
    <xf numFmtId="0" fontId="60" fillId="0" borderId="0" xfId="10" applyFont="1" applyAlignment="1">
      <alignment horizontal="center"/>
    </xf>
    <xf numFmtId="175" fontId="60" fillId="0" borderId="0" xfId="10" applyNumberFormat="1" applyFont="1" applyAlignment="1">
      <alignment horizontal="center"/>
    </xf>
    <xf numFmtId="0" fontId="100" fillId="0" borderId="4" xfId="9" applyFont="1" applyBorder="1" applyAlignment="1">
      <alignment horizontal="left"/>
    </xf>
    <xf numFmtId="0" fontId="100" fillId="0" borderId="20" xfId="9" applyFont="1" applyBorder="1" applyAlignment="1">
      <alignment horizontal="left"/>
    </xf>
    <xf numFmtId="0" fontId="100" fillId="0" borderId="7" xfId="9" applyFont="1" applyBorder="1" applyAlignment="1">
      <alignment horizontal="left"/>
    </xf>
    <xf numFmtId="0" fontId="95" fillId="0" borderId="4" xfId="9" applyFont="1" applyBorder="1" applyAlignment="1">
      <alignment horizontal="left"/>
    </xf>
    <xf numFmtId="0" fontId="95" fillId="0" borderId="20" xfId="9" applyFont="1" applyBorder="1" applyAlignment="1">
      <alignment horizontal="left"/>
    </xf>
    <xf numFmtId="0" fontId="95" fillId="0" borderId="7" xfId="9" applyFont="1" applyBorder="1" applyAlignment="1">
      <alignment horizontal="left"/>
    </xf>
    <xf numFmtId="0" fontId="19" fillId="0" borderId="59" xfId="25" applyFont="1" applyBorder="1" applyAlignment="1">
      <alignment horizontal="center" vertical="center"/>
    </xf>
    <xf numFmtId="0" fontId="19" fillId="0" borderId="63" xfId="25" applyFont="1" applyBorder="1" applyAlignment="1">
      <alignment horizontal="center" vertical="center"/>
    </xf>
    <xf numFmtId="10" fontId="19" fillId="0" borderId="65" xfId="25" applyNumberFormat="1" applyFont="1" applyBorder="1" applyAlignment="1">
      <alignment horizontal="center" vertical="center"/>
    </xf>
    <xf numFmtId="10" fontId="19" fillId="0" borderId="59" xfId="25" applyNumberFormat="1" applyFont="1" applyBorder="1" applyAlignment="1">
      <alignment horizontal="center" vertical="center"/>
    </xf>
    <xf numFmtId="10" fontId="19" fillId="0" borderId="63" xfId="25" applyNumberFormat="1" applyFont="1" applyBorder="1" applyAlignment="1">
      <alignment horizontal="center" vertical="center"/>
    </xf>
    <xf numFmtId="0" fontId="19" fillId="0" borderId="65" xfId="25" applyFont="1" applyBorder="1" applyAlignment="1">
      <alignment vertical="center"/>
    </xf>
    <xf numFmtId="0" fontId="19" fillId="0" borderId="59" xfId="25" applyFont="1" applyBorder="1" applyAlignment="1">
      <alignment vertical="center"/>
    </xf>
    <xf numFmtId="0" fontId="19" fillId="0" borderId="63" xfId="25" applyFont="1" applyBorder="1" applyAlignment="1">
      <alignment vertical="center"/>
    </xf>
    <xf numFmtId="0" fontId="19" fillId="0" borderId="20" xfId="25" applyFont="1" applyBorder="1" applyAlignment="1">
      <alignment horizontal="center" vertical="center"/>
    </xf>
    <xf numFmtId="0" fontId="19" fillId="0" borderId="62" xfId="25" applyFont="1" applyBorder="1" applyAlignment="1">
      <alignment horizontal="center" vertical="center"/>
    </xf>
    <xf numFmtId="10" fontId="19" fillId="0" borderId="57" xfId="25" applyNumberFormat="1" applyFont="1" applyBorder="1" applyAlignment="1">
      <alignment horizontal="center" vertical="center"/>
    </xf>
    <xf numFmtId="10" fontId="19" fillId="0" borderId="20" xfId="25" applyNumberFormat="1" applyFont="1" applyBorder="1" applyAlignment="1">
      <alignment horizontal="center" vertical="center"/>
    </xf>
    <xf numFmtId="10" fontId="19" fillId="0" borderId="62" xfId="25" applyNumberFormat="1" applyFont="1" applyBorder="1" applyAlignment="1">
      <alignment horizontal="center" vertical="center"/>
    </xf>
    <xf numFmtId="0" fontId="19" fillId="0" borderId="57" xfId="25" applyFont="1" applyBorder="1" applyAlignment="1">
      <alignment vertical="center" wrapText="1"/>
    </xf>
    <xf numFmtId="0" fontId="19" fillId="0" borderId="20" xfId="25" applyFont="1" applyBorder="1" applyAlignment="1">
      <alignment vertical="center" wrapText="1"/>
    </xf>
    <xf numFmtId="0" fontId="19" fillId="0" borderId="62" xfId="25" applyFont="1" applyBorder="1" applyAlignment="1">
      <alignment vertical="center" wrapText="1"/>
    </xf>
    <xf numFmtId="0" fontId="117" fillId="0" borderId="80" xfId="25" applyFont="1" applyBorder="1" applyAlignment="1">
      <alignment horizontal="center" vertical="center"/>
    </xf>
    <xf numFmtId="0" fontId="117" fillId="0" borderId="78" xfId="25" applyFont="1" applyBorder="1" applyAlignment="1">
      <alignment horizontal="center" vertical="center"/>
    </xf>
    <xf numFmtId="0" fontId="117" fillId="0" borderId="81" xfId="25" applyFont="1" applyBorder="1" applyAlignment="1">
      <alignment horizontal="center" vertical="center"/>
    </xf>
    <xf numFmtId="0" fontId="117" fillId="0" borderId="80" xfId="25" applyFont="1" applyBorder="1" applyAlignment="1">
      <alignment horizontal="center" vertical="center" wrapText="1"/>
    </xf>
    <xf numFmtId="0" fontId="117" fillId="0" borderId="79" xfId="25" applyFont="1" applyBorder="1" applyAlignment="1">
      <alignment horizontal="center" vertical="center"/>
    </xf>
    <xf numFmtId="0" fontId="117" fillId="0" borderId="82" xfId="25" applyFont="1" applyBorder="1" applyAlignment="1">
      <alignment horizontal="center" vertical="center"/>
    </xf>
    <xf numFmtId="0" fontId="6" fillId="0" borderId="58" xfId="25" applyBorder="1" applyAlignment="1">
      <alignment horizontal="center" vertical="center"/>
    </xf>
    <xf numFmtId="0" fontId="6" fillId="0" borderId="55" xfId="25" applyBorder="1" applyAlignment="1">
      <alignment horizontal="center" vertical="center"/>
    </xf>
    <xf numFmtId="10" fontId="6" fillId="0" borderId="56" xfId="25" applyNumberFormat="1" applyBorder="1" applyAlignment="1">
      <alignment horizontal="center" vertical="center"/>
    </xf>
    <xf numFmtId="10" fontId="6" fillId="0" borderId="58" xfId="25" applyNumberFormat="1" applyBorder="1" applyAlignment="1">
      <alignment horizontal="center" vertical="center"/>
    </xf>
    <xf numFmtId="10" fontId="6" fillId="0" borderId="55" xfId="25" applyNumberFormat="1" applyBorder="1" applyAlignment="1">
      <alignment horizontal="center" vertical="center"/>
    </xf>
    <xf numFmtId="0" fontId="6" fillId="0" borderId="56" xfId="25" applyBorder="1" applyAlignment="1">
      <alignment vertical="center" wrapText="1"/>
    </xf>
    <xf numFmtId="0" fontId="6" fillId="0" borderId="58" xfId="25" applyBorder="1" applyAlignment="1">
      <alignment vertical="center" wrapText="1"/>
    </xf>
    <xf numFmtId="0" fontId="6" fillId="0" borderId="55" xfId="25" applyBorder="1" applyAlignment="1">
      <alignment vertical="center" wrapText="1"/>
    </xf>
    <xf numFmtId="0" fontId="19" fillId="0" borderId="7" xfId="25" applyFont="1" applyBorder="1" applyAlignment="1">
      <alignment horizontal="center" vertical="center"/>
    </xf>
    <xf numFmtId="0" fontId="19" fillId="0" borderId="1" xfId="25" applyFont="1" applyBorder="1" applyAlignment="1">
      <alignment horizontal="center" vertical="center"/>
    </xf>
    <xf numFmtId="0" fontId="19" fillId="0" borderId="4" xfId="25" applyFont="1" applyBorder="1" applyAlignment="1">
      <alignment horizontal="center" vertical="center"/>
    </xf>
    <xf numFmtId="0" fontId="19" fillId="0" borderId="7" xfId="25" applyFont="1" applyBorder="1" applyAlignment="1">
      <alignment vertical="center" wrapText="1"/>
    </xf>
    <xf numFmtId="0" fontId="19" fillId="0" borderId="1" xfId="25" applyFont="1" applyBorder="1" applyAlignment="1">
      <alignment vertical="center" wrapText="1"/>
    </xf>
    <xf numFmtId="0" fontId="19" fillId="0" borderId="9" xfId="25" applyFont="1" applyBorder="1" applyAlignment="1">
      <alignment vertical="center" wrapText="1"/>
    </xf>
    <xf numFmtId="0" fontId="19" fillId="0" borderId="64" xfId="25" applyFont="1" applyBorder="1" applyAlignment="1">
      <alignment horizontal="center" vertical="center"/>
    </xf>
    <xf numFmtId="0" fontId="19" fillId="0" borderId="37" xfId="25" applyFont="1" applyBorder="1" applyAlignment="1">
      <alignment horizontal="center" vertical="center"/>
    </xf>
    <xf numFmtId="0" fontId="19" fillId="0" borderId="38" xfId="25" applyFont="1" applyBorder="1" applyAlignment="1">
      <alignment horizontal="center" vertical="center"/>
    </xf>
    <xf numFmtId="10" fontId="19" fillId="0" borderId="36" xfId="25" applyNumberFormat="1" applyFont="1" applyBorder="1" applyAlignment="1">
      <alignment horizontal="center" vertical="center"/>
    </xf>
    <xf numFmtId="10" fontId="19" fillId="0" borderId="37" xfId="25" applyNumberFormat="1" applyFont="1" applyBorder="1" applyAlignment="1">
      <alignment horizontal="center" vertical="center"/>
    </xf>
    <xf numFmtId="10" fontId="19" fillId="0" borderId="47" xfId="25" applyNumberFormat="1" applyFont="1" applyBorder="1" applyAlignment="1">
      <alignment horizontal="center" vertical="center"/>
    </xf>
    <xf numFmtId="0" fontId="19" fillId="0" borderId="64" xfId="25" applyFont="1" applyBorder="1" applyAlignment="1">
      <alignment vertical="center" wrapText="1"/>
    </xf>
    <xf numFmtId="0" fontId="19" fillId="0" borderId="37" xfId="25" applyFont="1" applyBorder="1" applyAlignment="1">
      <alignment vertical="center" wrapText="1"/>
    </xf>
    <xf numFmtId="0" fontId="19" fillId="0" borderId="47" xfId="25" applyFont="1" applyBorder="1" applyAlignment="1">
      <alignment vertical="center" wrapText="1"/>
    </xf>
    <xf numFmtId="10" fontId="19" fillId="0" borderId="8" xfId="25" applyNumberFormat="1" applyFont="1" applyBorder="1" applyAlignment="1">
      <alignment horizontal="center" vertical="center"/>
    </xf>
    <xf numFmtId="10" fontId="19" fillId="0" borderId="1" xfId="25" applyNumberFormat="1" applyFont="1" applyBorder="1" applyAlignment="1">
      <alignment horizontal="center" vertical="center"/>
    </xf>
    <xf numFmtId="10" fontId="19" fillId="0" borderId="9" xfId="25" applyNumberFormat="1" applyFont="1" applyBorder="1" applyAlignment="1">
      <alignment horizontal="center" vertical="center"/>
    </xf>
    <xf numFmtId="0" fontId="19" fillId="0" borderId="45" xfId="25" applyFont="1" applyBorder="1" applyAlignment="1">
      <alignment horizontal="center" vertical="center"/>
    </xf>
    <xf numFmtId="0" fontId="19" fillId="0" borderId="33" xfId="25" applyFont="1" applyBorder="1" applyAlignment="1">
      <alignment horizontal="center" vertical="center"/>
    </xf>
    <xf numFmtId="0" fontId="19" fillId="0" borderId="34" xfId="25" applyFont="1" applyBorder="1" applyAlignment="1">
      <alignment horizontal="center" vertical="center"/>
    </xf>
    <xf numFmtId="10" fontId="19" fillId="0" borderId="56" xfId="25" applyNumberFormat="1" applyFont="1" applyBorder="1" applyAlignment="1">
      <alignment horizontal="center" vertical="center"/>
    </xf>
    <xf numFmtId="10" fontId="19" fillId="0" borderId="58" xfId="25" applyNumberFormat="1" applyFont="1" applyBorder="1" applyAlignment="1">
      <alignment horizontal="center" vertical="center"/>
    </xf>
    <xf numFmtId="10" fontId="19" fillId="0" borderId="55" xfId="25" applyNumberFormat="1" applyFont="1" applyBorder="1" applyAlignment="1">
      <alignment horizontal="center" vertical="center"/>
    </xf>
    <xf numFmtId="0" fontId="19" fillId="0" borderId="45" xfId="25" applyFont="1" applyBorder="1" applyAlignment="1">
      <alignment vertical="center" wrapText="1"/>
    </xf>
    <xf numFmtId="0" fontId="19" fillId="0" borderId="33" xfId="25" applyFont="1" applyBorder="1" applyAlignment="1">
      <alignment vertical="center" wrapText="1"/>
    </xf>
    <xf numFmtId="0" fontId="19" fillId="0" borderId="35" xfId="25" applyFont="1" applyBorder="1" applyAlignment="1">
      <alignment vertical="center" wrapText="1"/>
    </xf>
    <xf numFmtId="0" fontId="10" fillId="0" borderId="83" xfId="25" applyFont="1" applyBorder="1" applyAlignment="1">
      <alignment horizontal="center" vertical="center" wrapText="1"/>
    </xf>
    <xf numFmtId="0" fontId="10" fillId="0" borderId="60" xfId="25" applyFont="1" applyBorder="1" applyAlignment="1">
      <alignment horizontal="center" vertical="center" wrapText="1"/>
    </xf>
    <xf numFmtId="0" fontId="118" fillId="0" borderId="27" xfId="25" applyFont="1" applyBorder="1" applyAlignment="1">
      <alignment horizontal="left" vertical="center" wrapText="1"/>
    </xf>
    <xf numFmtId="0" fontId="118" fillId="0" borderId="28" xfId="25" applyFont="1" applyBorder="1" applyAlignment="1">
      <alignment horizontal="left" vertical="center" wrapText="1"/>
    </xf>
    <xf numFmtId="0" fontId="118" fillId="0" borderId="29" xfId="25" applyFont="1" applyBorder="1" applyAlignment="1">
      <alignment horizontal="left" vertical="center" wrapText="1"/>
    </xf>
    <xf numFmtId="0" fontId="126" fillId="0" borderId="12" xfId="9" applyFont="1" applyBorder="1" applyAlignment="1">
      <alignment horizontal="left" vertical="top" wrapText="1"/>
    </xf>
    <xf numFmtId="0" fontId="126" fillId="0" borderId="0" xfId="9" applyFont="1" applyAlignment="1">
      <alignment horizontal="left" vertical="top" wrapText="1"/>
    </xf>
    <xf numFmtId="0" fontId="38" fillId="0" borderId="8" xfId="27" applyBorder="1" applyAlignment="1">
      <alignment horizontal="left" wrapText="1"/>
    </xf>
    <xf numFmtId="0" fontId="38" fillId="0" borderId="1" xfId="27" applyBorder="1" applyAlignment="1">
      <alignment horizontal="left" wrapText="1"/>
    </xf>
    <xf numFmtId="0" fontId="38" fillId="0" borderId="9" xfId="27" applyBorder="1" applyAlignment="1">
      <alignment horizontal="left" wrapText="1"/>
    </xf>
    <xf numFmtId="0" fontId="38" fillId="0" borderId="8" xfId="27" applyBorder="1" applyAlignment="1">
      <alignment horizontal="left" vertical="center" wrapText="1"/>
    </xf>
    <xf numFmtId="0" fontId="38" fillId="0" borderId="1" xfId="27" applyBorder="1" applyAlignment="1">
      <alignment horizontal="left" vertical="center" wrapText="1"/>
    </xf>
    <xf numFmtId="0" fontId="38" fillId="0" borderId="9" xfId="27" applyBorder="1" applyAlignment="1">
      <alignment horizontal="left" vertical="center" wrapText="1"/>
    </xf>
    <xf numFmtId="0" fontId="126" fillId="0" borderId="12" xfId="27" applyFont="1" applyBorder="1" applyAlignment="1">
      <alignment horizontal="left" vertical="top" wrapText="1"/>
    </xf>
    <xf numFmtId="0" fontId="65" fillId="0" borderId="27" xfId="31" applyFont="1" applyBorder="1" applyAlignment="1">
      <alignment horizontal="center"/>
    </xf>
    <xf numFmtId="0" fontId="65" fillId="0" borderId="28" xfId="31" applyFont="1" applyBorder="1" applyAlignment="1">
      <alignment horizontal="center"/>
    </xf>
    <xf numFmtId="0" fontId="65" fillId="0" borderId="29" xfId="31" applyFont="1" applyBorder="1" applyAlignment="1">
      <alignment horizontal="center"/>
    </xf>
    <xf numFmtId="0" fontId="38" fillId="0" borderId="32" xfId="27" applyBorder="1" applyAlignment="1">
      <alignment horizontal="left"/>
    </xf>
    <xf numFmtId="0" fontId="38" fillId="0" borderId="33" xfId="27" applyBorder="1" applyAlignment="1">
      <alignment horizontal="left"/>
    </xf>
    <xf numFmtId="0" fontId="38" fillId="0" borderId="35" xfId="27" applyBorder="1" applyAlignment="1">
      <alignment horizontal="left"/>
    </xf>
    <xf numFmtId="0" fontId="120" fillId="13" borderId="8" xfId="9" applyFont="1" applyFill="1" applyBorder="1" applyAlignment="1">
      <alignment horizontal="center" vertical="center" wrapText="1"/>
    </xf>
    <xf numFmtId="0" fontId="120" fillId="13" borderId="1" xfId="9" applyFont="1" applyFill="1" applyBorder="1" applyAlignment="1">
      <alignment horizontal="center" vertical="center" wrapText="1"/>
    </xf>
    <xf numFmtId="0" fontId="120" fillId="13" borderId="9" xfId="9" applyFont="1" applyFill="1" applyBorder="1" applyAlignment="1">
      <alignment horizontal="center" vertical="center" wrapText="1"/>
    </xf>
    <xf numFmtId="0" fontId="66" fillId="21" borderId="41" xfId="27" applyFont="1" applyFill="1" applyBorder="1" applyAlignment="1">
      <alignment horizontal="left"/>
    </xf>
    <xf numFmtId="0" fontId="66" fillId="21" borderId="43" xfId="27" applyFont="1" applyFill="1" applyBorder="1" applyAlignment="1">
      <alignment horizontal="left"/>
    </xf>
    <xf numFmtId="0" fontId="38" fillId="0" borderId="39" xfId="27" applyBorder="1" applyAlignment="1">
      <alignment horizontal="left"/>
    </xf>
    <xf numFmtId="0" fontId="38" fillId="0" borderId="40" xfId="27" applyBorder="1" applyAlignment="1">
      <alignment horizontal="left"/>
    </xf>
    <xf numFmtId="0" fontId="38" fillId="0" borderId="8" xfId="27" applyBorder="1" applyAlignment="1">
      <alignment horizontal="left"/>
    </xf>
    <xf numFmtId="0" fontId="38" fillId="0" borderId="9" xfId="27" applyBorder="1" applyAlignment="1">
      <alignment horizontal="left"/>
    </xf>
    <xf numFmtId="0" fontId="38" fillId="0" borderId="36" xfId="27" applyBorder="1" applyAlignment="1">
      <alignment horizontal="left"/>
    </xf>
    <xf numFmtId="0" fontId="38" fillId="0" borderId="47" xfId="27" applyBorder="1" applyAlignment="1">
      <alignment horizontal="left"/>
    </xf>
    <xf numFmtId="0" fontId="126" fillId="0" borderId="0" xfId="27" applyFont="1" applyAlignment="1">
      <alignment horizontal="left" vertical="top" wrapText="1"/>
    </xf>
    <xf numFmtId="0" fontId="66" fillId="21" borderId="10" xfId="27" applyFont="1" applyFill="1" applyBorder="1" applyAlignment="1">
      <alignment horizontal="left"/>
    </xf>
    <xf numFmtId="0" fontId="66" fillId="21" borderId="12" xfId="27" applyFont="1" applyFill="1" applyBorder="1" applyAlignment="1">
      <alignment horizontal="left"/>
    </xf>
    <xf numFmtId="0" fontId="66" fillId="21" borderId="11" xfId="27" applyFont="1" applyFill="1" applyBorder="1" applyAlignment="1">
      <alignment horizontal="left"/>
    </xf>
    <xf numFmtId="49" fontId="119" fillId="16" borderId="32" xfId="9" applyNumberFormat="1" applyFont="1" applyFill="1" applyBorder="1" applyAlignment="1">
      <alignment horizontal="center" vertical="center" wrapText="1"/>
    </xf>
    <xf numFmtId="49" fontId="119" fillId="16" borderId="75" xfId="9" applyNumberFormat="1" applyFont="1" applyFill="1" applyBorder="1" applyAlignment="1">
      <alignment horizontal="center" vertical="center" wrapText="1"/>
    </xf>
    <xf numFmtId="0" fontId="119" fillId="16" borderId="33" xfId="9" applyFont="1" applyFill="1" applyBorder="1" applyAlignment="1">
      <alignment horizontal="center" vertical="center" wrapText="1"/>
    </xf>
    <xf numFmtId="0" fontId="119" fillId="16" borderId="5" xfId="9" applyFont="1" applyFill="1" applyBorder="1" applyAlignment="1">
      <alignment horizontal="center" vertical="center" wrapText="1"/>
    </xf>
    <xf numFmtId="0" fontId="119" fillId="16" borderId="35" xfId="9" applyFont="1" applyFill="1" applyBorder="1" applyAlignment="1">
      <alignment horizontal="center" vertical="center" wrapText="1"/>
    </xf>
    <xf numFmtId="0" fontId="119" fillId="16" borderId="48" xfId="9" applyFont="1" applyFill="1" applyBorder="1" applyAlignment="1">
      <alignment horizontal="center" vertical="center" wrapText="1"/>
    </xf>
    <xf numFmtId="0" fontId="120" fillId="13" borderId="32" xfId="9" applyFont="1" applyFill="1" applyBorder="1" applyAlignment="1">
      <alignment horizontal="center" vertical="center" wrapText="1"/>
    </xf>
    <xf numFmtId="0" fontId="120" fillId="13" borderId="33" xfId="9" applyFont="1" applyFill="1" applyBorder="1" applyAlignment="1">
      <alignment horizontal="center" vertical="center" wrapText="1"/>
    </xf>
    <xf numFmtId="0" fontId="120" fillId="13" borderId="35" xfId="9" applyFont="1" applyFill="1" applyBorder="1" applyAlignment="1">
      <alignment horizontal="center" vertical="center" wrapText="1"/>
    </xf>
    <xf numFmtId="0" fontId="137" fillId="0" borderId="10" xfId="25" applyFont="1" applyBorder="1" applyAlignment="1">
      <alignment horizontal="left" vertical="center"/>
    </xf>
    <xf numFmtId="0" fontId="137" fillId="0" borderId="12" xfId="25" applyFont="1" applyBorder="1" applyAlignment="1">
      <alignment horizontal="left" vertical="center"/>
    </xf>
    <xf numFmtId="0" fontId="137" fillId="0" borderId="11" xfId="25" applyFont="1" applyBorder="1" applyAlignment="1">
      <alignment horizontal="left" vertical="center"/>
    </xf>
    <xf numFmtId="0" fontId="137" fillId="0" borderId="15" xfId="25" applyFont="1" applyBorder="1" applyAlignment="1">
      <alignment horizontal="left" vertical="center"/>
    </xf>
    <xf numFmtId="0" fontId="137" fillId="0" borderId="16" xfId="25" applyFont="1" applyBorder="1" applyAlignment="1">
      <alignment horizontal="left" vertical="center"/>
    </xf>
    <xf numFmtId="0" fontId="137" fillId="0" borderId="17" xfId="25" applyFont="1" applyBorder="1" applyAlignment="1">
      <alignment horizontal="left" vertical="center"/>
    </xf>
    <xf numFmtId="0" fontId="136" fillId="0" borderId="83" xfId="25" applyFont="1" applyBorder="1" applyAlignment="1">
      <alignment horizontal="center" vertical="center"/>
    </xf>
    <xf numFmtId="0" fontId="136" fillId="0" borderId="94" xfId="25" applyFont="1" applyBorder="1" applyAlignment="1">
      <alignment horizontal="center" vertical="center"/>
    </xf>
    <xf numFmtId="0" fontId="136" fillId="0" borderId="60" xfId="25" applyFont="1" applyBorder="1" applyAlignment="1">
      <alignment horizontal="center" vertical="center"/>
    </xf>
    <xf numFmtId="0" fontId="137" fillId="0" borderId="10" xfId="25" applyFont="1" applyBorder="1" applyAlignment="1">
      <alignment horizontal="left" vertical="center" wrapText="1"/>
    </xf>
    <xf numFmtId="0" fontId="137" fillId="0" borderId="12" xfId="25" applyFont="1" applyBorder="1" applyAlignment="1">
      <alignment horizontal="left" vertical="center" wrapText="1"/>
    </xf>
    <xf numFmtId="0" fontId="137" fillId="0" borderId="11" xfId="25" applyFont="1" applyBorder="1" applyAlignment="1">
      <alignment horizontal="left" vertical="center" wrapText="1"/>
    </xf>
    <xf numFmtId="0" fontId="137" fillId="0" borderId="13" xfId="25" applyFont="1" applyBorder="1" applyAlignment="1">
      <alignment horizontal="left" vertical="center" wrapText="1"/>
    </xf>
    <xf numFmtId="0" fontId="137" fillId="0" borderId="0" xfId="25" applyFont="1" applyAlignment="1">
      <alignment horizontal="left" vertical="center" wrapText="1"/>
    </xf>
    <xf numFmtId="0" fontId="137" fillId="0" borderId="14" xfId="25" applyFont="1" applyBorder="1" applyAlignment="1">
      <alignment horizontal="left" vertical="center" wrapText="1"/>
    </xf>
    <xf numFmtId="0" fontId="137" fillId="0" borderId="15" xfId="25" applyFont="1" applyBorder="1" applyAlignment="1">
      <alignment horizontal="left" vertical="center" wrapText="1"/>
    </xf>
    <xf numFmtId="0" fontId="137" fillId="0" borderId="16" xfId="25" applyFont="1" applyBorder="1" applyAlignment="1">
      <alignment horizontal="left" vertical="center" wrapText="1"/>
    </xf>
    <xf numFmtId="0" fontId="137" fillId="0" borderId="17" xfId="25" applyFont="1" applyBorder="1" applyAlignment="1">
      <alignment horizontal="left" vertical="center" wrapText="1"/>
    </xf>
    <xf numFmtId="0" fontId="136" fillId="0" borderId="10" xfId="25" applyFont="1" applyBorder="1" applyAlignment="1">
      <alignment horizontal="center" vertical="center"/>
    </xf>
    <xf numFmtId="0" fontId="136" fillId="0" borderId="13" xfId="25" applyFont="1" applyBorder="1" applyAlignment="1">
      <alignment horizontal="center" vertical="center"/>
    </xf>
    <xf numFmtId="0" fontId="136" fillId="0" borderId="15" xfId="25" applyFont="1" applyBorder="1" applyAlignment="1">
      <alignment horizontal="center" vertical="center"/>
    </xf>
    <xf numFmtId="0" fontId="135" fillId="3" borderId="10" xfId="25" applyFont="1" applyFill="1" applyBorder="1" applyAlignment="1">
      <alignment horizontal="left" vertical="center" wrapText="1"/>
    </xf>
    <xf numFmtId="0" fontId="135" fillId="3" borderId="12" xfId="25" applyFont="1" applyFill="1" applyBorder="1" applyAlignment="1">
      <alignment horizontal="left" vertical="center" wrapText="1"/>
    </xf>
    <xf numFmtId="0" fontId="135" fillId="3" borderId="11" xfId="25" applyFont="1" applyFill="1" applyBorder="1" applyAlignment="1">
      <alignment horizontal="left" vertical="center" wrapText="1"/>
    </xf>
    <xf numFmtId="0" fontId="135" fillId="3" borderId="13" xfId="25" applyFont="1" applyFill="1" applyBorder="1" applyAlignment="1">
      <alignment horizontal="left" vertical="center" wrapText="1"/>
    </xf>
    <xf numFmtId="0" fontId="135" fillId="3" borderId="0" xfId="25" applyFont="1" applyFill="1" applyAlignment="1">
      <alignment horizontal="left" vertical="center" wrapText="1"/>
    </xf>
    <xf numFmtId="0" fontId="135" fillId="3" borderId="14" xfId="25" applyFont="1" applyFill="1" applyBorder="1" applyAlignment="1">
      <alignment horizontal="left" vertical="center" wrapText="1"/>
    </xf>
    <xf numFmtId="0" fontId="135" fillId="3" borderId="15" xfId="25" applyFont="1" applyFill="1" applyBorder="1" applyAlignment="1">
      <alignment horizontal="left" vertical="center" wrapText="1"/>
    </xf>
    <xf numFmtId="0" fontId="135" fillId="3" borderId="16" xfId="25" applyFont="1" applyFill="1" applyBorder="1" applyAlignment="1">
      <alignment horizontal="left" vertical="center" wrapText="1"/>
    </xf>
    <xf numFmtId="0" fontId="135" fillId="3" borderId="17" xfId="25" applyFont="1" applyFill="1" applyBorder="1" applyAlignment="1">
      <alignment horizontal="left" vertical="center" wrapText="1"/>
    </xf>
    <xf numFmtId="0" fontId="130" fillId="3" borderId="15" xfId="28" applyFont="1" applyFill="1" applyBorder="1" applyAlignment="1">
      <alignment horizontal="left" vertical="top" wrapText="1"/>
    </xf>
    <xf numFmtId="0" fontId="130" fillId="3" borderId="17" xfId="28" applyFont="1" applyFill="1" applyBorder="1" applyAlignment="1">
      <alignment horizontal="left" vertical="top" wrapText="1"/>
    </xf>
    <xf numFmtId="0" fontId="6" fillId="0" borderId="32" xfId="25" applyBorder="1" applyAlignment="1">
      <alignment horizontal="center" vertical="center"/>
    </xf>
    <xf numFmtId="0" fontId="6" fillId="0" borderId="33" xfId="25" applyBorder="1" applyAlignment="1">
      <alignment horizontal="center" vertical="center"/>
    </xf>
    <xf numFmtId="0" fontId="6" fillId="0" borderId="8" xfId="25" applyBorder="1" applyAlignment="1">
      <alignment horizontal="center" vertical="center"/>
    </xf>
    <xf numFmtId="0" fontId="6" fillId="0" borderId="1" xfId="25" applyBorder="1" applyAlignment="1">
      <alignment horizontal="center" vertical="center"/>
    </xf>
    <xf numFmtId="169" fontId="6" fillId="0" borderId="35" xfId="25" applyNumberFormat="1" applyBorder="1" applyAlignment="1">
      <alignment horizontal="center" vertical="center"/>
    </xf>
    <xf numFmtId="169" fontId="6" fillId="0" borderId="9" xfId="25" applyNumberFormat="1" applyBorder="1" applyAlignment="1">
      <alignment horizontal="center" vertical="center"/>
    </xf>
    <xf numFmtId="0" fontId="19" fillId="0" borderId="10" xfId="25" applyFont="1" applyBorder="1" applyAlignment="1">
      <alignment horizontal="center" vertical="center" wrapText="1"/>
    </xf>
    <xf numFmtId="0" fontId="19" fillId="0" borderId="12" xfId="25" applyFont="1" applyBorder="1" applyAlignment="1">
      <alignment horizontal="center" vertical="center" wrapText="1"/>
    </xf>
    <xf numFmtId="0" fontId="19" fillId="0" borderId="11" xfId="25" applyFont="1" applyBorder="1" applyAlignment="1">
      <alignment horizontal="center" vertical="center" wrapText="1"/>
    </xf>
    <xf numFmtId="0" fontId="19" fillId="0" borderId="13" xfId="25" applyFont="1" applyBorder="1" applyAlignment="1">
      <alignment horizontal="center" vertical="center" wrapText="1"/>
    </xf>
    <xf numFmtId="0" fontId="19" fillId="0" borderId="0" xfId="25" applyFont="1" applyAlignment="1">
      <alignment horizontal="center" vertical="center" wrapText="1"/>
    </xf>
    <xf numFmtId="0" fontId="19" fillId="0" borderId="14" xfId="25" applyFont="1" applyBorder="1" applyAlignment="1">
      <alignment horizontal="center" vertical="center" wrapText="1"/>
    </xf>
    <xf numFmtId="0" fontId="19" fillId="0" borderId="15" xfId="25" applyFont="1" applyBorder="1" applyAlignment="1">
      <alignment horizontal="center" vertical="center" wrapText="1"/>
    </xf>
    <xf numFmtId="0" fontId="19" fillId="0" borderId="16" xfId="25" applyFont="1" applyBorder="1" applyAlignment="1">
      <alignment horizontal="center" vertical="center" wrapText="1"/>
    </xf>
    <xf numFmtId="0" fontId="19" fillId="0" borderId="17" xfId="25" applyFont="1" applyBorder="1" applyAlignment="1">
      <alignment horizontal="center" vertical="center" wrapText="1"/>
    </xf>
    <xf numFmtId="0" fontId="19" fillId="0" borderId="10" xfId="25" applyFont="1" applyBorder="1" applyAlignment="1">
      <alignment horizontal="left" vertical="center" wrapText="1"/>
    </xf>
    <xf numFmtId="0" fontId="19" fillId="0" borderId="12" xfId="25" applyFont="1" applyBorder="1" applyAlignment="1">
      <alignment horizontal="left" vertical="center" wrapText="1"/>
    </xf>
    <xf numFmtId="0" fontId="19" fillId="0" borderId="11" xfId="25" applyFont="1" applyBorder="1" applyAlignment="1">
      <alignment horizontal="left" vertical="center" wrapText="1"/>
    </xf>
    <xf numFmtId="0" fontId="19" fillId="0" borderId="13" xfId="25" applyFont="1" applyBorder="1" applyAlignment="1">
      <alignment horizontal="left" vertical="center" wrapText="1"/>
    </xf>
    <xf numFmtId="0" fontId="19" fillId="0" borderId="0" xfId="25" applyFont="1" applyAlignment="1">
      <alignment horizontal="left" vertical="center" wrapText="1"/>
    </xf>
    <xf numFmtId="0" fontId="19" fillId="0" borderId="14" xfId="25" applyFont="1" applyBorder="1" applyAlignment="1">
      <alignment horizontal="left" vertical="center" wrapText="1"/>
    </xf>
    <xf numFmtId="0" fontId="19" fillId="0" borderId="15" xfId="25" applyFont="1" applyBorder="1" applyAlignment="1">
      <alignment horizontal="left" vertical="center" wrapText="1"/>
    </xf>
    <xf numFmtId="0" fontId="19" fillId="0" borderId="16" xfId="25" applyFont="1" applyBorder="1" applyAlignment="1">
      <alignment horizontal="left" vertical="center" wrapText="1"/>
    </xf>
    <xf numFmtId="0" fontId="19" fillId="0" borderId="17" xfId="25" applyFont="1" applyBorder="1" applyAlignment="1">
      <alignment horizontal="left" vertical="center" wrapText="1"/>
    </xf>
    <xf numFmtId="0" fontId="6" fillId="0" borderId="36" xfId="25" applyBorder="1" applyAlignment="1">
      <alignment horizontal="center" vertical="center"/>
    </xf>
    <xf numFmtId="0" fontId="6" fillId="0" borderId="37" xfId="25" applyBorder="1" applyAlignment="1">
      <alignment horizontal="center" vertical="center"/>
    </xf>
    <xf numFmtId="169" fontId="6" fillId="0" borderId="47" xfId="25" applyNumberFormat="1" applyBorder="1" applyAlignment="1">
      <alignment horizontal="center" vertical="center"/>
    </xf>
    <xf numFmtId="0" fontId="130" fillId="3" borderId="95" xfId="28" applyFont="1" applyFill="1" applyBorder="1" applyAlignment="1">
      <alignment horizontal="left" vertical="top" wrapText="1"/>
    </xf>
    <xf numFmtId="0" fontId="130" fillId="3" borderId="98" xfId="28" applyFont="1" applyFill="1" applyBorder="1" applyAlignment="1">
      <alignment horizontal="left" vertical="top" wrapText="1"/>
    </xf>
    <xf numFmtId="0" fontId="127" fillId="0" borderId="27" xfId="28" applyFont="1" applyBorder="1" applyAlignment="1">
      <alignment horizontal="center" vertical="center" wrapText="1"/>
    </xf>
    <xf numFmtId="0" fontId="127" fillId="0" borderId="28" xfId="28" applyFont="1" applyBorder="1" applyAlignment="1">
      <alignment horizontal="center" vertical="center" wrapText="1"/>
    </xf>
    <xf numFmtId="0" fontId="127" fillId="0" borderId="29" xfId="28" applyFont="1" applyBorder="1" applyAlignment="1">
      <alignment horizontal="center" vertical="center" wrapText="1"/>
    </xf>
    <xf numFmtId="0" fontId="128" fillId="0" borderId="27" xfId="28" applyFont="1" applyBorder="1" applyAlignment="1">
      <alignment horizontal="left" wrapText="1"/>
    </xf>
    <xf numFmtId="0" fontId="128" fillId="0" borderId="28" xfId="28" applyFont="1" applyBorder="1" applyAlignment="1">
      <alignment horizontal="left" wrapText="1"/>
    </xf>
    <xf numFmtId="0" fontId="128" fillId="0" borderId="29" xfId="28" applyFont="1" applyBorder="1" applyAlignment="1">
      <alignment horizontal="left" wrapText="1"/>
    </xf>
    <xf numFmtId="0" fontId="128" fillId="0" borderId="10" xfId="29" applyFont="1" applyBorder="1" applyAlignment="1">
      <alignment horizontal="left" wrapText="1"/>
    </xf>
    <xf numFmtId="0" fontId="128" fillId="0" borderId="12" xfId="29" applyFont="1" applyBorder="1" applyAlignment="1">
      <alignment horizontal="left" wrapText="1"/>
    </xf>
    <xf numFmtId="0" fontId="129" fillId="14" borderId="87" xfId="28" applyFont="1" applyFill="1" applyBorder="1" applyAlignment="1">
      <alignment horizontal="center" vertical="center" textRotation="90" wrapText="1"/>
    </xf>
    <xf numFmtId="0" fontId="129" fillId="14" borderId="94" xfId="28" applyFont="1" applyFill="1" applyBorder="1" applyAlignment="1">
      <alignment horizontal="center" vertical="center" textRotation="90" wrapText="1"/>
    </xf>
    <xf numFmtId="0" fontId="129" fillId="14" borderId="60" xfId="28" applyFont="1" applyFill="1" applyBorder="1" applyAlignment="1">
      <alignment horizontal="center" vertical="center" textRotation="90" wrapText="1"/>
    </xf>
    <xf numFmtId="0" fontId="130" fillId="3" borderId="88" xfId="28" applyFont="1" applyFill="1" applyBorder="1" applyAlignment="1">
      <alignment horizontal="left" vertical="top" wrapText="1"/>
    </xf>
    <xf numFmtId="0" fontId="130" fillId="3" borderId="89" xfId="28" applyFont="1" applyFill="1" applyBorder="1" applyAlignment="1">
      <alignment horizontal="left" vertical="top" wrapText="1"/>
    </xf>
    <xf numFmtId="0" fontId="130" fillId="3" borderId="95" xfId="28" applyFont="1" applyFill="1" applyBorder="1" applyAlignment="1">
      <alignment horizontal="left" vertical="center" wrapText="1"/>
    </xf>
  </cellXfs>
  <cellStyles count="32">
    <cellStyle name="Comma 2" xfId="22"/>
    <cellStyle name="Normal 10" xfId="4"/>
    <cellStyle name="Normal 10 2" xfId="16"/>
    <cellStyle name="Normal 2" xfId="9"/>
    <cellStyle name="Normal 2 2" xfId="13"/>
    <cellStyle name="Normal 2 2 2" xfId="7"/>
    <cellStyle name="Normal 2 3" xfId="11"/>
    <cellStyle name="Normal 2 3 2" xfId="23"/>
    <cellStyle name="Normal 2 3 3" xfId="24"/>
    <cellStyle name="Normal 2 3 4" xfId="30"/>
    <cellStyle name="Normal 3" xfId="14"/>
    <cellStyle name="Normal 3 2" xfId="19"/>
    <cellStyle name="Normal 3 2 2" xfId="25"/>
    <cellStyle name="Normal 3 2 2 2" xfId="27"/>
    <cellStyle name="Normal 4" xfId="20"/>
    <cellStyle name="Normal 4 2" xfId="31"/>
    <cellStyle name="Normal_ENPV - Statistics" xfId="29"/>
    <cellStyle name="Normal_FNPV_C - Statistics" xfId="28"/>
    <cellStyle name="Normálna" xfId="0" builtinId="0"/>
    <cellStyle name="Normálna 2" xfId="3"/>
    <cellStyle name="Normálna 2 2" xfId="6"/>
    <cellStyle name="Normálna 2 3" xfId="17"/>
    <cellStyle name="Normálna 3" xfId="21"/>
    <cellStyle name="Normálna 8" xfId="10"/>
    <cellStyle name="normálne 2" xfId="1"/>
    <cellStyle name="normálne 2 2" xfId="5"/>
    <cellStyle name="normálne 2 21" xfId="8"/>
    <cellStyle name="Percent 2" xfId="12"/>
    <cellStyle name="Percent 2 2" xfId="18"/>
    <cellStyle name="Percent 3" xfId="15"/>
    <cellStyle name="Percentá" xfId="2" builtinId="5"/>
    <cellStyle name="Percentá 2" xfId="26"/>
  </cellStyles>
  <dxfs count="7">
    <dxf>
      <font>
        <color rgb="FF9C0006"/>
      </font>
    </dxf>
    <dxf>
      <font>
        <color rgb="FF00B050"/>
      </font>
    </dxf>
    <dxf>
      <font>
        <color theme="1"/>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colors>
    <mruColors>
      <color rgb="FF3399FF"/>
      <color rgb="FFFFFF66"/>
      <color rgb="FFFFFFCC"/>
      <color rgb="FFFFFF00"/>
      <color rgb="FF99FFCC"/>
      <color rgb="FFCCFF33"/>
      <color rgb="FFFFCC66"/>
      <color rgb="FF99FF33"/>
      <color rgb="FFFC8174"/>
      <color rgb="FFFEDD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17.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Citlivosť FNPV_C na zmeny premenných finančného modelu +1%/-1%</a:t>
            </a:r>
            <a:endParaRPr lang="en-US">
              <a:effectLst/>
            </a:endParaRPr>
          </a:p>
        </c:rich>
      </c:tx>
      <c:layout/>
      <c:overlay val="0"/>
      <c:spPr>
        <a:noFill/>
        <a:ln>
          <a:noFill/>
        </a:ln>
        <a:effectLst/>
      </c:spPr>
    </c:title>
    <c:autoTitleDeleted val="0"/>
    <c:plotArea>
      <c:layout/>
      <c:barChart>
        <c:barDir val="bar"/>
        <c:grouping val="clustered"/>
        <c:varyColors val="0"/>
        <c:ser>
          <c:idx val="0"/>
          <c:order val="0"/>
          <c:tx>
            <c:v>Zmena -1%</c:v>
          </c:tx>
          <c:spPr>
            <a:solidFill>
              <a:srgbClr val="FC8174"/>
            </a:solidFill>
            <a:ln>
              <a:noFill/>
            </a:ln>
            <a:effectLst/>
          </c:spPr>
          <c:invertIfNegative val="0"/>
          <c:cat>
            <c:strRef>
              <c:extLst>
                <c:ext xmlns:c15="http://schemas.microsoft.com/office/drawing/2012/chart" uri="{02D57815-91ED-43cb-92C2-25804820EDAC}">
                  <c15:fullRef>
                    <c15:sqref>'09 CA_FNPV_C'!$B$10:$B$15</c15:sqref>
                  </c15:fullRef>
                </c:ext>
              </c:extLst>
              <c:f>'09 CA_FNPV_C'!$B$11:$B$15</c:f>
              <c:strCache>
                <c:ptCount val="5"/>
                <c:pt idx="0">
                  <c:v>Investičné výdavky - zmena v %</c:v>
                </c:pt>
                <c:pt idx="1">
                  <c:v>Prevádzkové výdavky – mzdové výdavky - zmena v %</c:v>
                </c:pt>
                <c:pt idx="2">
                  <c:v>Prevádzkové výdavky – bežné a pravidelné výdavky - zmena v %</c:v>
                </c:pt>
                <c:pt idx="3">
                  <c:v>Prevádzkové príjmy - zmena v %</c:v>
                </c:pt>
                <c:pt idx="4">
                  <c:v>Zostatková hodnota - zmena v %</c:v>
                </c:pt>
              </c:strCache>
            </c:strRef>
          </c:cat>
          <c:val>
            <c:numRef>
              <c:extLst>
                <c:ext xmlns:c15="http://schemas.microsoft.com/office/drawing/2012/chart" uri="{02D57815-91ED-43cb-92C2-25804820EDAC}">
                  <c15:fullRef>
                    <c15:sqref>'09 CA_FNPV_C'!$C$10:$C$15</c15:sqref>
                  </c15:fullRef>
                </c:ext>
              </c:extLst>
              <c:f>'09 CA_FNPV_C'!$C$11:$C$15</c:f>
              <c:numCache>
                <c:formatCode>0.00%</c:formatCode>
                <c:ptCount val="5"/>
                <c:pt idx="0">
                  <c:v>0.44210969437714831</c:v>
                </c:pt>
                <c:pt idx="1">
                  <c:v>-0.39714387053606859</c:v>
                </c:pt>
                <c:pt idx="2">
                  <c:v>-1.0099680780855991E-2</c:v>
                </c:pt>
                <c:pt idx="3">
                  <c:v>-4.8849813083506888E-15</c:v>
                </c:pt>
                <c:pt idx="4">
                  <c:v>-2.4866143060238155E-2</c:v>
                </c:pt>
              </c:numCache>
            </c:numRef>
          </c:val>
          <c:extLst>
            <c:ext xmlns:c16="http://schemas.microsoft.com/office/drawing/2014/chart" uri="{C3380CC4-5D6E-409C-BE32-E72D297353CC}">
              <c16:uniqueId val="{00000000-A51E-4CE1-A3C0-A7926A5FC608}"/>
            </c:ext>
          </c:extLst>
        </c:ser>
        <c:ser>
          <c:idx val="2"/>
          <c:order val="1"/>
          <c:tx>
            <c:v>Zmena +1%</c:v>
          </c:tx>
          <c:spPr>
            <a:solidFill>
              <a:srgbClr val="3399FF"/>
            </a:solidFill>
            <a:ln>
              <a:noFill/>
            </a:ln>
            <a:effectLst/>
          </c:spPr>
          <c:invertIfNegative val="0"/>
          <c:cat>
            <c:strRef>
              <c:extLst>
                <c:ext xmlns:c15="http://schemas.microsoft.com/office/drawing/2012/chart" uri="{02D57815-91ED-43cb-92C2-25804820EDAC}">
                  <c15:fullRef>
                    <c15:sqref>'09 CA_FNPV_C'!$B$10:$B$15</c15:sqref>
                  </c15:fullRef>
                </c:ext>
              </c:extLst>
              <c:f>'09 CA_FNPV_C'!$B$11:$B$15</c:f>
              <c:strCache>
                <c:ptCount val="5"/>
                <c:pt idx="0">
                  <c:v>Investičné výdavky - zmena v %</c:v>
                </c:pt>
                <c:pt idx="1">
                  <c:v>Prevádzkové výdavky – mzdové výdavky - zmena v %</c:v>
                </c:pt>
                <c:pt idx="2">
                  <c:v>Prevádzkové výdavky – bežné a pravidelné výdavky - zmena v %</c:v>
                </c:pt>
                <c:pt idx="3">
                  <c:v>Prevádzkové príjmy - zmena v %</c:v>
                </c:pt>
                <c:pt idx="4">
                  <c:v>Zostatková hodnota - zmena v %</c:v>
                </c:pt>
              </c:strCache>
            </c:strRef>
          </c:cat>
          <c:val>
            <c:numRef>
              <c:extLst>
                <c:ext xmlns:c15="http://schemas.microsoft.com/office/drawing/2012/chart" uri="{02D57815-91ED-43cb-92C2-25804820EDAC}">
                  <c15:fullRef>
                    <c15:sqref>'09 CA_FNPV_C'!$E$10:$E$15</c15:sqref>
                  </c15:fullRef>
                </c:ext>
              </c:extLst>
              <c:f>'09 CA_FNPV_C'!$E$11:$E$15</c:f>
              <c:numCache>
                <c:formatCode>0.00%</c:formatCode>
                <c:ptCount val="5"/>
                <c:pt idx="0">
                  <c:v>-0.44210969437715741</c:v>
                </c:pt>
                <c:pt idx="1">
                  <c:v>0.39714387053606492</c:v>
                </c:pt>
                <c:pt idx="2">
                  <c:v>1.0099680780857545E-2</c:v>
                </c:pt>
                <c:pt idx="3">
                  <c:v>-4.8849813083506888E-15</c:v>
                </c:pt>
                <c:pt idx="4">
                  <c:v>2.4866143060228163E-2</c:v>
                </c:pt>
              </c:numCache>
            </c:numRef>
          </c:val>
          <c:extLst>
            <c:ext xmlns:c16="http://schemas.microsoft.com/office/drawing/2014/chart" uri="{C3380CC4-5D6E-409C-BE32-E72D297353CC}">
              <c16:uniqueId val="{00000001-A51E-4CE1-A3C0-A7926A5FC608}"/>
            </c:ext>
          </c:extLst>
        </c:ser>
        <c:dLbls>
          <c:showLegendKey val="0"/>
          <c:showVal val="0"/>
          <c:showCatName val="0"/>
          <c:showSerName val="0"/>
          <c:showPercent val="0"/>
          <c:showBubbleSize val="0"/>
        </c:dLbls>
        <c:gapWidth val="182"/>
        <c:axId val="132480000"/>
        <c:axId val="132506368"/>
      </c:barChart>
      <c:catAx>
        <c:axId val="132480000"/>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2506368"/>
        <c:crosses val="autoZero"/>
        <c:auto val="1"/>
        <c:lblAlgn val="ctr"/>
        <c:lblOffset val="100"/>
        <c:noMultiLvlLbl val="0"/>
      </c:catAx>
      <c:valAx>
        <c:axId val="132506368"/>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24800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sk-SK"/>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333333"/>
                </a:solidFill>
                <a:latin typeface="Calibri"/>
                <a:ea typeface="Calibri"/>
                <a:cs typeface="Calibri"/>
              </a:defRPr>
            </a:pPr>
            <a:r>
              <a:rPr lang="en-US"/>
              <a:t>Zmena ENPV (+/- 1% zmena)</a:t>
            </a:r>
          </a:p>
        </c:rich>
      </c:tx>
      <c:layout/>
      <c:overlay val="0"/>
      <c:spPr>
        <a:noFill/>
        <a:ln w="25400">
          <a:noFill/>
        </a:ln>
      </c:spPr>
    </c:title>
    <c:autoTitleDeleted val="0"/>
    <c:plotArea>
      <c:layout/>
      <c:lineChart>
        <c:grouping val="standard"/>
        <c:varyColors val="0"/>
        <c:ser>
          <c:idx val="0"/>
          <c:order val="0"/>
          <c:tx>
            <c:strRef>
              <c:f>'10 CA_ENPV'!$B$12</c:f>
              <c:strCache>
                <c:ptCount val="1"/>
                <c:pt idx="0">
                  <c:v>Investičné náklady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CA_ENPV'!$C$12,'10 CA_ENPV'!$E$12)</c:f>
              <c:numCache>
                <c:formatCode>0.00%</c:formatCode>
                <c:ptCount val="2"/>
                <c:pt idx="0">
                  <c:v>2.7613814337880571E-2</c:v>
                </c:pt>
                <c:pt idx="1">
                  <c:v>-2.7613814337880238E-2</c:v>
                </c:pt>
              </c:numCache>
            </c:numRef>
          </c:val>
          <c:smooth val="0"/>
          <c:extLst>
            <c:ext xmlns:c16="http://schemas.microsoft.com/office/drawing/2014/chart" uri="{C3380CC4-5D6E-409C-BE32-E72D297353CC}">
              <c16:uniqueId val="{00000000-57E4-4E1B-A686-10651A846A08}"/>
            </c:ext>
          </c:extLst>
        </c:ser>
        <c:ser>
          <c:idx val="1"/>
          <c:order val="1"/>
          <c:tx>
            <c:strRef>
              <c:f>'10 CA_ENPV'!$B$13</c:f>
              <c:strCache>
                <c:ptCount val="1"/>
                <c:pt idx="0">
                  <c:v>Prevádzkové náklady - mzdové náklady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CA_ENPV'!$C$13,'10 CA_ENPV'!$E$13)</c:f>
              <c:numCache>
                <c:formatCode>0.00%</c:formatCode>
                <c:ptCount val="2"/>
                <c:pt idx="0">
                  <c:v>-2.1555698260695699E-2</c:v>
                </c:pt>
                <c:pt idx="1">
                  <c:v>2.1555698260707246E-2</c:v>
                </c:pt>
              </c:numCache>
            </c:numRef>
          </c:val>
          <c:smooth val="0"/>
          <c:extLst>
            <c:ext xmlns:c16="http://schemas.microsoft.com/office/drawing/2014/chart" uri="{C3380CC4-5D6E-409C-BE32-E72D297353CC}">
              <c16:uniqueId val="{0000000B-57E4-4E1B-A686-10651A846A08}"/>
            </c:ext>
          </c:extLst>
        </c:ser>
        <c:ser>
          <c:idx val="2"/>
          <c:order val="2"/>
          <c:tx>
            <c:strRef>
              <c:f>'10 CA_ENPV'!$B$15</c:f>
              <c:strCache>
                <c:ptCount val="1"/>
                <c:pt idx="0">
                  <c:v>Úspora času - osobná  doprava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CA_ENPV'!$C$15,'10 CA_ENPV'!$E$15)</c:f>
              <c:numCache>
                <c:formatCode>0.00%</c:formatCode>
                <c:ptCount val="2"/>
                <c:pt idx="0">
                  <c:v>-1.419474800550713E-2</c:v>
                </c:pt>
                <c:pt idx="1">
                  <c:v>1.4194748005517788E-2</c:v>
                </c:pt>
              </c:numCache>
            </c:numRef>
          </c:val>
          <c:smooth val="0"/>
          <c:extLst>
            <c:ext xmlns:c16="http://schemas.microsoft.com/office/drawing/2014/chart" uri="{C3380CC4-5D6E-409C-BE32-E72D297353CC}">
              <c16:uniqueId val="{0000000C-57E4-4E1B-A686-10651A846A08}"/>
            </c:ext>
          </c:extLst>
        </c:ser>
        <c:ser>
          <c:idx val="3"/>
          <c:order val="3"/>
          <c:tx>
            <c:strRef>
              <c:f>'10 CA_ENPV'!$B$16</c:f>
              <c:strCache>
                <c:ptCount val="1"/>
                <c:pt idx="0">
                  <c:v>Počet cestujúcich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CA_ENPV'!$C$16,'10 CA_ENPV'!$E$16)</c:f>
              <c:numCache>
                <c:formatCode>0.00%</c:formatCode>
                <c:ptCount val="2"/>
                <c:pt idx="0">
                  <c:v>-1.4194748005506908E-2</c:v>
                </c:pt>
                <c:pt idx="1">
                  <c:v>1.419474800551801E-2</c:v>
                </c:pt>
              </c:numCache>
            </c:numRef>
          </c:val>
          <c:smooth val="0"/>
          <c:extLst>
            <c:ext xmlns:c16="http://schemas.microsoft.com/office/drawing/2014/chart" uri="{C3380CC4-5D6E-409C-BE32-E72D297353CC}">
              <c16:uniqueId val="{0000000D-57E4-4E1B-A686-10651A846A08}"/>
            </c:ext>
          </c:extLst>
        </c:ser>
        <c:ser>
          <c:idx val="4"/>
          <c:order val="4"/>
          <c:tx>
            <c:strRef>
              <c:f>'10 CA_ENPV'!$B$17</c:f>
              <c:strCache>
                <c:ptCount val="1"/>
                <c:pt idx="0">
                  <c:v>Zostatková hodnota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CA_ENPV'!$C$17,'10 CA_ENPV'!$E$17)</c:f>
              <c:numCache>
                <c:formatCode>0.00%</c:formatCode>
                <c:ptCount val="2"/>
                <c:pt idx="0">
                  <c:v>-1.0906300212274456E-3</c:v>
                </c:pt>
                <c:pt idx="1">
                  <c:v>1.0906300212274456E-3</c:v>
                </c:pt>
              </c:numCache>
            </c:numRef>
          </c:val>
          <c:smooth val="0"/>
          <c:extLst>
            <c:ext xmlns:c16="http://schemas.microsoft.com/office/drawing/2014/chart" uri="{C3380CC4-5D6E-409C-BE32-E72D297353CC}">
              <c16:uniqueId val="{0000000E-57E4-4E1B-A686-10651A846A08}"/>
            </c:ext>
          </c:extLst>
        </c:ser>
        <c:dLbls>
          <c:showLegendKey val="0"/>
          <c:showVal val="0"/>
          <c:showCatName val="0"/>
          <c:showSerName val="0"/>
          <c:showPercent val="0"/>
          <c:showBubbleSize val="0"/>
        </c:dLbls>
        <c:smooth val="0"/>
        <c:axId val="760547832"/>
        <c:axId val="1"/>
      </c:lineChart>
      <c:catAx>
        <c:axId val="760547832"/>
        <c:scaling>
          <c:orientation val="minMax"/>
        </c:scaling>
        <c:delete val="1"/>
        <c:axPos val="b"/>
        <c:numFmt formatCode="General" sourceLinked="1"/>
        <c:majorTickMark val="none"/>
        <c:minorTickMark val="none"/>
        <c:tickLblPos val="low"/>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sk-SK"/>
          </a:p>
        </c:txPr>
        <c:crossAx val="760547832"/>
        <c:crosses val="autoZero"/>
        <c:crossBetween val="between"/>
      </c:valAx>
      <c:spPr>
        <a:noFill/>
        <a:ln w="25400">
          <a:noFill/>
        </a:ln>
      </c:spPr>
    </c:plotArea>
    <c:legend>
      <c:legendPos val="r"/>
      <c:layout/>
      <c:overlay val="0"/>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sk-SK"/>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333333"/>
                </a:solidFill>
                <a:latin typeface="Calibri"/>
                <a:ea typeface="Calibri"/>
                <a:cs typeface="Calibri"/>
              </a:defRPr>
            </a:pPr>
            <a:r>
              <a:rPr lang="en-US"/>
              <a:t>Zmena ENPV (+/- 5% zmena)</a:t>
            </a:r>
          </a:p>
        </c:rich>
      </c:tx>
      <c:layout/>
      <c:overlay val="0"/>
      <c:spPr>
        <a:noFill/>
        <a:ln w="25400">
          <a:noFill/>
        </a:ln>
      </c:spPr>
    </c:title>
    <c:autoTitleDeleted val="0"/>
    <c:plotArea>
      <c:layout/>
      <c:lineChart>
        <c:grouping val="standard"/>
        <c:varyColors val="0"/>
        <c:ser>
          <c:idx val="0"/>
          <c:order val="0"/>
          <c:tx>
            <c:strRef>
              <c:f>'10 CA_ENPV'!$G$12</c:f>
              <c:strCache>
                <c:ptCount val="1"/>
                <c:pt idx="0">
                  <c:v>Investičné náklady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CA_ENPV'!$H$12,'10 CA_ENPV'!$J$12)</c:f>
              <c:numCache>
                <c:formatCode>0.00%</c:formatCode>
                <c:ptCount val="2"/>
                <c:pt idx="0">
                  <c:v>0.1380690716894013</c:v>
                </c:pt>
                <c:pt idx="1">
                  <c:v>-0.1380690716894013</c:v>
                </c:pt>
              </c:numCache>
            </c:numRef>
          </c:val>
          <c:smooth val="0"/>
          <c:extLst>
            <c:ext xmlns:c16="http://schemas.microsoft.com/office/drawing/2014/chart" uri="{C3380CC4-5D6E-409C-BE32-E72D297353CC}">
              <c16:uniqueId val="{00000000-8CC7-4C9B-8E40-AD36C9118ACE}"/>
            </c:ext>
          </c:extLst>
        </c:ser>
        <c:ser>
          <c:idx val="1"/>
          <c:order val="1"/>
          <c:tx>
            <c:strRef>
              <c:f>'10 CA_ENPV'!$G$13</c:f>
              <c:strCache>
                <c:ptCount val="1"/>
                <c:pt idx="0">
                  <c:v>Prevádzkové náklady - mzdové náklady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CA_ENPV'!$H$13,'10 CA_ENPV'!$J$13)</c:f>
              <c:numCache>
                <c:formatCode>0.00%</c:formatCode>
                <c:ptCount val="2"/>
                <c:pt idx="0">
                  <c:v>-0.10777849130349904</c:v>
                </c:pt>
                <c:pt idx="1">
                  <c:v>0.10777849130351069</c:v>
                </c:pt>
              </c:numCache>
            </c:numRef>
          </c:val>
          <c:smooth val="0"/>
          <c:extLst>
            <c:ext xmlns:c16="http://schemas.microsoft.com/office/drawing/2014/chart" uri="{C3380CC4-5D6E-409C-BE32-E72D297353CC}">
              <c16:uniqueId val="{00000010-8CC7-4C9B-8E40-AD36C9118ACE}"/>
            </c:ext>
          </c:extLst>
        </c:ser>
        <c:ser>
          <c:idx val="2"/>
          <c:order val="2"/>
          <c:tx>
            <c:strRef>
              <c:f>'10 CA_ENPV'!$G$15</c:f>
              <c:strCache>
                <c:ptCount val="1"/>
                <c:pt idx="0">
                  <c:v>Úspora času - osobná  doprava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CA_ENPV'!$H$15,'10 CA_ENPV'!$J$15)</c:f>
              <c:numCache>
                <c:formatCode>0.00%</c:formatCode>
                <c:ptCount val="2"/>
                <c:pt idx="0">
                  <c:v>-7.0973740027555965E-2</c:v>
                </c:pt>
                <c:pt idx="1">
                  <c:v>7.0973740027567844E-2</c:v>
                </c:pt>
              </c:numCache>
            </c:numRef>
          </c:val>
          <c:smooth val="0"/>
          <c:extLst>
            <c:ext xmlns:c16="http://schemas.microsoft.com/office/drawing/2014/chart" uri="{C3380CC4-5D6E-409C-BE32-E72D297353CC}">
              <c16:uniqueId val="{00000011-8CC7-4C9B-8E40-AD36C9118ACE}"/>
            </c:ext>
          </c:extLst>
        </c:ser>
        <c:ser>
          <c:idx val="3"/>
          <c:order val="3"/>
          <c:tx>
            <c:strRef>
              <c:f>'10 CA_ENPV'!$G$16</c:f>
              <c:strCache>
                <c:ptCount val="1"/>
                <c:pt idx="0">
                  <c:v>Počet cestujúcich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CA_ENPV'!$H$16,'10 CA_ENPV'!$J$16)</c:f>
              <c:numCache>
                <c:formatCode>0.00%</c:formatCode>
                <c:ptCount val="2"/>
                <c:pt idx="0">
                  <c:v>-7.0973740027555965E-2</c:v>
                </c:pt>
                <c:pt idx="1">
                  <c:v>7.0973740027568066E-2</c:v>
                </c:pt>
              </c:numCache>
            </c:numRef>
          </c:val>
          <c:smooth val="0"/>
          <c:extLst>
            <c:ext xmlns:c16="http://schemas.microsoft.com/office/drawing/2014/chart" uri="{C3380CC4-5D6E-409C-BE32-E72D297353CC}">
              <c16:uniqueId val="{00000012-8CC7-4C9B-8E40-AD36C9118ACE}"/>
            </c:ext>
          </c:extLst>
        </c:ser>
        <c:ser>
          <c:idx val="4"/>
          <c:order val="4"/>
          <c:tx>
            <c:strRef>
              <c:f>'10 CA_ENPV'!$G$17</c:f>
              <c:strCache>
                <c:ptCount val="1"/>
                <c:pt idx="0">
                  <c:v>Zostatková hodnota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CA_ENPV'!$H$17,'10 CA_ENPV'!$J$17)</c:f>
              <c:numCache>
                <c:formatCode>0.00%</c:formatCode>
                <c:ptCount val="2"/>
                <c:pt idx="0">
                  <c:v>-5.4531501061374499E-3</c:v>
                </c:pt>
                <c:pt idx="1">
                  <c:v>5.4531501061374499E-3</c:v>
                </c:pt>
              </c:numCache>
            </c:numRef>
          </c:val>
          <c:smooth val="0"/>
          <c:extLst>
            <c:ext xmlns:c16="http://schemas.microsoft.com/office/drawing/2014/chart" uri="{C3380CC4-5D6E-409C-BE32-E72D297353CC}">
              <c16:uniqueId val="{00000013-8CC7-4C9B-8E40-AD36C9118ACE}"/>
            </c:ext>
          </c:extLst>
        </c:ser>
        <c:dLbls>
          <c:showLegendKey val="0"/>
          <c:showVal val="0"/>
          <c:showCatName val="0"/>
          <c:showSerName val="0"/>
          <c:showPercent val="0"/>
          <c:showBubbleSize val="0"/>
        </c:dLbls>
        <c:smooth val="0"/>
        <c:axId val="760549472"/>
        <c:axId val="1"/>
      </c:lineChart>
      <c:catAx>
        <c:axId val="760549472"/>
        <c:scaling>
          <c:orientation val="minMax"/>
        </c:scaling>
        <c:delete val="1"/>
        <c:axPos val="b"/>
        <c:numFmt formatCode="0%" sourceLinked="1"/>
        <c:majorTickMark val="none"/>
        <c:minorTickMark val="none"/>
        <c:tickLblPos val="low"/>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sk-SK"/>
          </a:p>
        </c:txPr>
        <c:crossAx val="760549472"/>
        <c:crosses val="autoZero"/>
        <c:crossBetween val="between"/>
      </c:valAx>
      <c:spPr>
        <a:noFill/>
        <a:ln w="25400">
          <a:noFill/>
        </a:ln>
      </c:spPr>
    </c:plotArea>
    <c:legend>
      <c:legendPos val="r"/>
      <c:layout/>
      <c:overlay val="0"/>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sk-SK"/>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333333"/>
                </a:solidFill>
                <a:latin typeface="Calibri"/>
                <a:ea typeface="Calibri"/>
                <a:cs typeface="Calibri"/>
              </a:defRPr>
            </a:pPr>
            <a:r>
              <a:rPr lang="en-US"/>
              <a:t>Zmena ENPV (+/- 10% zmena)</a:t>
            </a:r>
          </a:p>
        </c:rich>
      </c:tx>
      <c:layout/>
      <c:overlay val="0"/>
      <c:spPr>
        <a:noFill/>
        <a:ln w="25400">
          <a:noFill/>
        </a:ln>
      </c:spPr>
    </c:title>
    <c:autoTitleDeleted val="0"/>
    <c:plotArea>
      <c:layout/>
      <c:lineChart>
        <c:grouping val="standard"/>
        <c:varyColors val="0"/>
        <c:ser>
          <c:idx val="0"/>
          <c:order val="0"/>
          <c:tx>
            <c:strRef>
              <c:f>'10 CA_ENPV'!$L$12</c:f>
              <c:strCache>
                <c:ptCount val="1"/>
                <c:pt idx="0">
                  <c:v>Investičné náklady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CA_ENPV'!$M$12,'10 CA_ENPV'!$O$12)</c:f>
              <c:numCache>
                <c:formatCode>0.00%</c:formatCode>
                <c:ptCount val="2"/>
                <c:pt idx="0">
                  <c:v>0.27613814337880194</c:v>
                </c:pt>
                <c:pt idx="1">
                  <c:v>-0.27613814337880283</c:v>
                </c:pt>
              </c:numCache>
            </c:numRef>
          </c:val>
          <c:smooth val="0"/>
          <c:extLst>
            <c:ext xmlns:c16="http://schemas.microsoft.com/office/drawing/2014/chart" uri="{C3380CC4-5D6E-409C-BE32-E72D297353CC}">
              <c16:uniqueId val="{00000000-AF4A-4DAE-BCB3-647CF06F3599}"/>
            </c:ext>
          </c:extLst>
        </c:ser>
        <c:ser>
          <c:idx val="1"/>
          <c:order val="1"/>
          <c:tx>
            <c:strRef>
              <c:f>'10 CA_ENPV'!$L$13</c:f>
              <c:strCache>
                <c:ptCount val="1"/>
                <c:pt idx="0">
                  <c:v>Prevádzkové náklady - mzdové náklady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CA_ENPV'!$M$13,'10 CA_ENPV'!$O$13)</c:f>
              <c:numCache>
                <c:formatCode>0.00%</c:formatCode>
                <c:ptCount val="2"/>
                <c:pt idx="0">
                  <c:v>-0.21555698260700273</c:v>
                </c:pt>
                <c:pt idx="1">
                  <c:v>0.21555698260701606</c:v>
                </c:pt>
              </c:numCache>
            </c:numRef>
          </c:val>
          <c:smooth val="0"/>
          <c:extLst>
            <c:ext xmlns:c16="http://schemas.microsoft.com/office/drawing/2014/chart" uri="{C3380CC4-5D6E-409C-BE32-E72D297353CC}">
              <c16:uniqueId val="{00000005-AF4A-4DAE-BCB3-647CF06F3599}"/>
            </c:ext>
          </c:extLst>
        </c:ser>
        <c:ser>
          <c:idx val="2"/>
          <c:order val="2"/>
          <c:tx>
            <c:strRef>
              <c:f>'10 CA_ENPV'!$L$15</c:f>
              <c:strCache>
                <c:ptCount val="1"/>
                <c:pt idx="0">
                  <c:v>Úspora času - osobná  doprava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CA_ENPV'!$M$15,'10 CA_ENPV'!$O$15)</c:f>
              <c:numCache>
                <c:formatCode>0.00%</c:formatCode>
                <c:ptCount val="2"/>
                <c:pt idx="0">
                  <c:v>-0.14194748005511848</c:v>
                </c:pt>
                <c:pt idx="1">
                  <c:v>0.1419474800551308</c:v>
                </c:pt>
              </c:numCache>
            </c:numRef>
          </c:val>
          <c:smooth val="0"/>
          <c:extLst>
            <c:ext xmlns:c16="http://schemas.microsoft.com/office/drawing/2014/chart" uri="{C3380CC4-5D6E-409C-BE32-E72D297353CC}">
              <c16:uniqueId val="{00000006-AF4A-4DAE-BCB3-647CF06F3599}"/>
            </c:ext>
          </c:extLst>
        </c:ser>
        <c:ser>
          <c:idx val="3"/>
          <c:order val="3"/>
          <c:tx>
            <c:strRef>
              <c:f>'10 CA_ENPV'!$L$16</c:f>
              <c:strCache>
                <c:ptCount val="1"/>
                <c:pt idx="0">
                  <c:v>Počet cestujúcich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CA_ENPV'!$M$16,'10 CA_ENPV'!$O$16)</c:f>
              <c:numCache>
                <c:formatCode>0.00%</c:formatCode>
                <c:ptCount val="2"/>
                <c:pt idx="0">
                  <c:v>-0.14194748005511937</c:v>
                </c:pt>
                <c:pt idx="1">
                  <c:v>0.1419474800551308</c:v>
                </c:pt>
              </c:numCache>
            </c:numRef>
          </c:val>
          <c:smooth val="0"/>
          <c:extLst>
            <c:ext xmlns:c16="http://schemas.microsoft.com/office/drawing/2014/chart" uri="{C3380CC4-5D6E-409C-BE32-E72D297353CC}">
              <c16:uniqueId val="{00000007-AF4A-4DAE-BCB3-647CF06F3599}"/>
            </c:ext>
          </c:extLst>
        </c:ser>
        <c:ser>
          <c:idx val="4"/>
          <c:order val="4"/>
          <c:tx>
            <c:strRef>
              <c:f>'10 CA_ENPV'!$L$17</c:f>
              <c:strCache>
                <c:ptCount val="1"/>
                <c:pt idx="0">
                  <c:v>Zostatková hodnota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CA_ENPV'!$M$17,'10 CA_ENPV'!$O$17)</c:f>
              <c:numCache>
                <c:formatCode>0.00%</c:formatCode>
                <c:ptCount val="2"/>
                <c:pt idx="0">
                  <c:v>-1.09063002122749E-2</c:v>
                </c:pt>
                <c:pt idx="1">
                  <c:v>1.09063002122749E-2</c:v>
                </c:pt>
              </c:numCache>
            </c:numRef>
          </c:val>
          <c:smooth val="0"/>
          <c:extLst>
            <c:ext xmlns:c16="http://schemas.microsoft.com/office/drawing/2014/chart" uri="{C3380CC4-5D6E-409C-BE32-E72D297353CC}">
              <c16:uniqueId val="{00000008-AF4A-4DAE-BCB3-647CF06F3599}"/>
            </c:ext>
          </c:extLst>
        </c:ser>
        <c:dLbls>
          <c:showLegendKey val="0"/>
          <c:showVal val="0"/>
          <c:showCatName val="0"/>
          <c:showSerName val="0"/>
          <c:showPercent val="0"/>
          <c:showBubbleSize val="0"/>
        </c:dLbls>
        <c:smooth val="0"/>
        <c:axId val="760536024"/>
        <c:axId val="1"/>
      </c:lineChart>
      <c:catAx>
        <c:axId val="760536024"/>
        <c:scaling>
          <c:orientation val="minMax"/>
        </c:scaling>
        <c:delete val="1"/>
        <c:axPos val="b"/>
        <c:numFmt formatCode="General" sourceLinked="1"/>
        <c:majorTickMark val="none"/>
        <c:minorTickMark val="none"/>
        <c:tickLblPos val="low"/>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sk-SK"/>
          </a:p>
        </c:txPr>
        <c:crossAx val="760536024"/>
        <c:crosses val="autoZero"/>
        <c:crossBetween val="between"/>
      </c:valAx>
      <c:spPr>
        <a:noFill/>
        <a:ln w="25400">
          <a:noFill/>
        </a:ln>
      </c:spPr>
    </c:plotArea>
    <c:legend>
      <c:legendPos val="r"/>
      <c:layout/>
      <c:overlay val="0"/>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sk-SK"/>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sk-SK"/>
              <a:t>FRR/C [%]  </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sk-SK"/>
        </a:p>
      </c:txPr>
    </c:title>
    <c:autoTitleDeleted val="0"/>
    <c:plotArea>
      <c:layout>
        <c:manualLayout>
          <c:layoutTarget val="inner"/>
          <c:xMode val="edge"/>
          <c:yMode val="edge"/>
          <c:x val="0.12763782419228445"/>
          <c:y val="0.19989886219974715"/>
          <c:w val="0.83643121730606307"/>
          <c:h val="0.6827900494739042"/>
        </c:manualLayout>
      </c:layout>
      <c:barChart>
        <c:barDir val="bar"/>
        <c:grouping val="clustered"/>
        <c:varyColors val="0"/>
        <c:ser>
          <c:idx val="0"/>
          <c:order val="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Pt>
            <c:idx val="0"/>
            <c:invertIfNegative val="0"/>
            <c:bubble3D val="0"/>
            <c:spPr>
              <a:solidFill>
                <a:srgbClr val="C000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1-CA69-4745-B2DE-57C4BADB46A7}"/>
              </c:ext>
            </c:extLst>
          </c:dPt>
          <c:dPt>
            <c:idx val="2"/>
            <c:invertIfNegative val="0"/>
            <c:bubble3D val="0"/>
            <c:spPr>
              <a:solidFill>
                <a:srgbClr val="92D05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3-CA69-4745-B2DE-57C4BADB46A7}"/>
              </c:ext>
            </c:extLst>
          </c:dPt>
          <c:dLbls>
            <c:numFmt formatCode="0.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'11 Analýza scenárov'!$C$12:$E$12</c:f>
              <c:strCache>
                <c:ptCount val="3"/>
                <c:pt idx="0">
                  <c:v>Pesimistický scenár</c:v>
                </c:pt>
                <c:pt idx="1">
                  <c:v>Realistický scenár</c:v>
                </c:pt>
                <c:pt idx="2">
                  <c:v>Optimistický scenár</c:v>
                </c:pt>
              </c:strCache>
            </c:strRef>
          </c:cat>
          <c:val>
            <c:numRef>
              <c:f>'11 Analýza scenárov'!$C$13:$E$13</c:f>
              <c:numCache>
                <c:formatCode>0.00%</c:formatCode>
                <c:ptCount val="3"/>
                <c:pt idx="0">
                  <c:v>2.1527994478211188E-2</c:v>
                </c:pt>
                <c:pt idx="1">
                  <c:v>3.8464819129005345E-2</c:v>
                </c:pt>
                <c:pt idx="2">
                  <c:v>5.978699079448857E-2</c:v>
                </c:pt>
              </c:numCache>
            </c:numRef>
          </c:val>
          <c:extLst>
            <c:ext xmlns:c16="http://schemas.microsoft.com/office/drawing/2014/chart" uri="{C3380CC4-5D6E-409C-BE32-E72D297353CC}">
              <c16:uniqueId val="{00000004-CA69-4745-B2DE-57C4BADB46A7}"/>
            </c:ext>
          </c:extLst>
        </c:ser>
        <c:dLbls>
          <c:showLegendKey val="0"/>
          <c:showVal val="0"/>
          <c:showCatName val="0"/>
          <c:showSerName val="0"/>
          <c:showPercent val="0"/>
          <c:showBubbleSize val="0"/>
        </c:dLbls>
        <c:gapWidth val="115"/>
        <c:overlap val="-20"/>
        <c:axId val="231284864"/>
        <c:axId val="231280272"/>
      </c:barChart>
      <c:catAx>
        <c:axId val="23128486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1" u="none" strike="noStrike" kern="1200" baseline="0">
                <a:solidFill>
                  <a:schemeClr val="bg1"/>
                </a:solidFill>
                <a:latin typeface="+mn-lt"/>
                <a:ea typeface="+mn-ea"/>
                <a:cs typeface="+mn-cs"/>
              </a:defRPr>
            </a:pPr>
            <a:endParaRPr lang="sk-SK"/>
          </a:p>
        </c:txPr>
        <c:crossAx val="231280272"/>
        <c:crosses val="autoZero"/>
        <c:auto val="1"/>
        <c:lblAlgn val="ctr"/>
        <c:lblOffset val="100"/>
        <c:noMultiLvlLbl val="0"/>
      </c:catAx>
      <c:valAx>
        <c:axId val="231280272"/>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2312848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sk-SK"/>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sk-SK"/>
              <a:t>ERR [%]  </a:t>
            </a:r>
          </a:p>
        </c:rich>
      </c:tx>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sk-SK"/>
        </a:p>
      </c:txPr>
    </c:title>
    <c:autoTitleDeleted val="0"/>
    <c:plotArea>
      <c:layout/>
      <c:barChart>
        <c:barDir val="bar"/>
        <c:grouping val="clustered"/>
        <c:varyColors val="0"/>
        <c:ser>
          <c:idx val="0"/>
          <c:order val="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Pt>
            <c:idx val="0"/>
            <c:invertIfNegative val="0"/>
            <c:bubble3D val="0"/>
            <c:spPr>
              <a:solidFill>
                <a:srgbClr val="C000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1-A5E1-411E-983D-BEF778CE36B7}"/>
              </c:ext>
            </c:extLst>
          </c:dPt>
          <c:dPt>
            <c:idx val="2"/>
            <c:invertIfNegative val="0"/>
            <c:bubble3D val="0"/>
            <c:spPr>
              <a:solidFill>
                <a:srgbClr val="92D05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3-A5E1-411E-983D-BEF778CE36B7}"/>
              </c:ext>
            </c:extLst>
          </c:dPt>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sk-SK"/>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'11 Analýza scenárov'!$C$12:$E$12</c:f>
              <c:strCache>
                <c:ptCount val="3"/>
                <c:pt idx="0">
                  <c:v>Pesimistický scenár</c:v>
                </c:pt>
                <c:pt idx="1">
                  <c:v>Realistický scenár</c:v>
                </c:pt>
                <c:pt idx="2">
                  <c:v>Optimistický scenár</c:v>
                </c:pt>
              </c:strCache>
            </c:strRef>
          </c:cat>
          <c:val>
            <c:numRef>
              <c:f>'11 Analýza scenárov'!$C$15:$E$15</c:f>
              <c:numCache>
                <c:formatCode>0.00%</c:formatCode>
                <c:ptCount val="3"/>
                <c:pt idx="0">
                  <c:v>5.1242009357978402E-2</c:v>
                </c:pt>
                <c:pt idx="1">
                  <c:v>7.5210108788235086E-2</c:v>
                </c:pt>
                <c:pt idx="2">
                  <c:v>0.10522312914220233</c:v>
                </c:pt>
              </c:numCache>
            </c:numRef>
          </c:val>
          <c:extLst>
            <c:ext xmlns:c16="http://schemas.microsoft.com/office/drawing/2014/chart" uri="{C3380CC4-5D6E-409C-BE32-E72D297353CC}">
              <c16:uniqueId val="{00000004-A5E1-411E-983D-BEF778CE36B7}"/>
            </c:ext>
          </c:extLst>
        </c:ser>
        <c:dLbls>
          <c:showLegendKey val="0"/>
          <c:showVal val="0"/>
          <c:showCatName val="0"/>
          <c:showSerName val="0"/>
          <c:showPercent val="0"/>
          <c:showBubbleSize val="0"/>
        </c:dLbls>
        <c:gapWidth val="115"/>
        <c:overlap val="-20"/>
        <c:axId val="231284864"/>
        <c:axId val="231280272"/>
      </c:barChart>
      <c:catAx>
        <c:axId val="23128486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sk-SK"/>
          </a:p>
        </c:txPr>
        <c:crossAx val="231280272"/>
        <c:crossesAt val="0"/>
        <c:auto val="1"/>
        <c:lblAlgn val="ctr"/>
        <c:lblOffset val="0"/>
        <c:tickLblSkip val="1"/>
        <c:noMultiLvlLbl val="0"/>
      </c:catAx>
      <c:valAx>
        <c:axId val="231280272"/>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low"/>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sk-SK"/>
          </a:p>
        </c:txPr>
        <c:crossAx val="231284864"/>
        <c:crossesAt val="3"/>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solidFill>
            <a:sysClr val="windowText" lastClr="000000"/>
          </a:solidFill>
        </a:defRPr>
      </a:pPr>
      <a:endParaRPr lang="sk-SK"/>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sk-SK"/>
              <a:t>FNPV/C [EUR]  </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sk-SK"/>
        </a:p>
      </c:txPr>
    </c:title>
    <c:autoTitleDeleted val="0"/>
    <c:plotArea>
      <c:layout/>
      <c:barChart>
        <c:barDir val="bar"/>
        <c:grouping val="clustered"/>
        <c:varyColors val="0"/>
        <c:ser>
          <c:idx val="0"/>
          <c:order val="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Pt>
            <c:idx val="0"/>
            <c:invertIfNegative val="0"/>
            <c:bubble3D val="0"/>
            <c:spPr>
              <a:solidFill>
                <a:srgbClr val="C000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1-9B3E-4B95-B081-2274C62D5A53}"/>
              </c:ext>
            </c:extLst>
          </c:dPt>
          <c:dPt>
            <c:idx val="2"/>
            <c:invertIfNegative val="0"/>
            <c:bubble3D val="0"/>
            <c:spPr>
              <a:solidFill>
                <a:srgbClr val="92D05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3-9B3E-4B95-B081-2274C62D5A53}"/>
              </c:ext>
            </c:extLst>
          </c:dPt>
          <c:dLbls>
            <c:numFmt formatCode="#,##0.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sk-SK"/>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'11 Analýza scenárov'!$C$12:$E$12</c:f>
              <c:strCache>
                <c:ptCount val="3"/>
                <c:pt idx="0">
                  <c:v>Pesimistický scenár</c:v>
                </c:pt>
                <c:pt idx="1">
                  <c:v>Realistický scenár</c:v>
                </c:pt>
                <c:pt idx="2">
                  <c:v>Optimistický scenár</c:v>
                </c:pt>
              </c:strCache>
            </c:strRef>
          </c:cat>
          <c:val>
            <c:numRef>
              <c:f>'11 Analýza scenárov'!$C$14:$E$14</c:f>
              <c:numCache>
                <c:formatCode>#,##0</c:formatCode>
                <c:ptCount val="3"/>
                <c:pt idx="0">
                  <c:v>-9535338.3622432314</c:v>
                </c:pt>
                <c:pt idx="1">
                  <c:v>-713332.81196636613</c:v>
                </c:pt>
                <c:pt idx="2">
                  <c:v>8108672.7383105047</c:v>
                </c:pt>
              </c:numCache>
            </c:numRef>
          </c:val>
          <c:extLst>
            <c:ext xmlns:c16="http://schemas.microsoft.com/office/drawing/2014/chart" uri="{C3380CC4-5D6E-409C-BE32-E72D297353CC}">
              <c16:uniqueId val="{00000004-9B3E-4B95-B081-2274C62D5A53}"/>
            </c:ext>
          </c:extLst>
        </c:ser>
        <c:dLbls>
          <c:showLegendKey val="0"/>
          <c:showVal val="0"/>
          <c:showCatName val="0"/>
          <c:showSerName val="0"/>
          <c:showPercent val="0"/>
          <c:showBubbleSize val="0"/>
        </c:dLbls>
        <c:gapWidth val="115"/>
        <c:overlap val="-20"/>
        <c:axId val="231284864"/>
        <c:axId val="231280272"/>
      </c:barChart>
      <c:catAx>
        <c:axId val="23128486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1" u="none" strike="noStrike" kern="1200" baseline="0">
                <a:solidFill>
                  <a:schemeClr val="tx1"/>
                </a:solidFill>
                <a:latin typeface="+mn-lt"/>
                <a:ea typeface="+mn-ea"/>
                <a:cs typeface="+mn-cs"/>
              </a:defRPr>
            </a:pPr>
            <a:endParaRPr lang="sk-SK"/>
          </a:p>
        </c:txPr>
        <c:crossAx val="231280272"/>
        <c:crosses val="autoZero"/>
        <c:auto val="1"/>
        <c:lblAlgn val="ctr"/>
        <c:lblOffset val="100"/>
        <c:noMultiLvlLbl val="0"/>
      </c:catAx>
      <c:valAx>
        <c:axId val="231280272"/>
        <c:scaling>
          <c:orientation val="minMax"/>
        </c:scaling>
        <c:delete val="1"/>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crossAx val="231284864"/>
        <c:crosses val="autoZero"/>
        <c:crossBetween val="between"/>
        <c:majorUnit val="2000"/>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sk-SK"/>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sk-SK"/>
              <a:t>ENPV</a:t>
            </a:r>
            <a:r>
              <a:rPr lang="sk-SK" baseline="0"/>
              <a:t> </a:t>
            </a:r>
            <a:r>
              <a:rPr lang="sk-SK" sz="1600" b="1" i="0" u="none" strike="noStrike" baseline="0">
                <a:effectLst/>
              </a:rPr>
              <a:t>[EUR] </a:t>
            </a:r>
            <a:r>
              <a:rPr lang="sk-SK"/>
              <a:t>  </a:t>
            </a:r>
          </a:p>
        </c:rich>
      </c:tx>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sk-SK"/>
        </a:p>
      </c:txPr>
    </c:title>
    <c:autoTitleDeleted val="0"/>
    <c:plotArea>
      <c:layout/>
      <c:barChart>
        <c:barDir val="bar"/>
        <c:grouping val="clustered"/>
        <c:varyColors val="0"/>
        <c:ser>
          <c:idx val="0"/>
          <c:order val="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Pt>
            <c:idx val="0"/>
            <c:invertIfNegative val="0"/>
            <c:bubble3D val="0"/>
            <c:spPr>
              <a:solidFill>
                <a:srgbClr val="C000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1-C045-49F9-9576-DE5C5F7C7B56}"/>
              </c:ext>
            </c:extLst>
          </c:dPt>
          <c:dPt>
            <c:idx val="2"/>
            <c:invertIfNegative val="0"/>
            <c:bubble3D val="0"/>
            <c:spPr>
              <a:solidFill>
                <a:srgbClr val="92D05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3-C045-49F9-9576-DE5C5F7C7B56}"/>
              </c:ext>
            </c:extLst>
          </c:dPt>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sk-SK"/>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'11 Analýza scenárov'!$C$12:$E$12</c:f>
              <c:strCache>
                <c:ptCount val="3"/>
                <c:pt idx="0">
                  <c:v>Pesimistický scenár</c:v>
                </c:pt>
                <c:pt idx="1">
                  <c:v>Realistický scenár</c:v>
                </c:pt>
                <c:pt idx="2">
                  <c:v>Optimistický scenár</c:v>
                </c:pt>
              </c:strCache>
            </c:strRef>
          </c:cat>
          <c:val>
            <c:numRef>
              <c:f>'11 Analýza scenárov'!$C$16:$E$16</c:f>
              <c:numCache>
                <c:formatCode>#,##0</c:formatCode>
                <c:ptCount val="3"/>
                <c:pt idx="0">
                  <c:v>547291.67596982</c:v>
                </c:pt>
                <c:pt idx="1">
                  <c:v>10078206.654562874</c:v>
                </c:pt>
                <c:pt idx="2">
                  <c:v>19609121.633155916</c:v>
                </c:pt>
              </c:numCache>
            </c:numRef>
          </c:val>
          <c:extLst>
            <c:ext xmlns:c16="http://schemas.microsoft.com/office/drawing/2014/chart" uri="{C3380CC4-5D6E-409C-BE32-E72D297353CC}">
              <c16:uniqueId val="{00000004-C045-49F9-9576-DE5C5F7C7B56}"/>
            </c:ext>
          </c:extLst>
        </c:ser>
        <c:dLbls>
          <c:showLegendKey val="0"/>
          <c:showVal val="0"/>
          <c:showCatName val="0"/>
          <c:showSerName val="0"/>
          <c:showPercent val="0"/>
          <c:showBubbleSize val="0"/>
        </c:dLbls>
        <c:gapWidth val="115"/>
        <c:overlap val="-20"/>
        <c:axId val="231284864"/>
        <c:axId val="231280272"/>
      </c:barChart>
      <c:catAx>
        <c:axId val="23128486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sk-SK"/>
          </a:p>
        </c:txPr>
        <c:crossAx val="231280272"/>
        <c:crossesAt val="0"/>
        <c:auto val="1"/>
        <c:lblAlgn val="ctr"/>
        <c:lblOffset val="0"/>
        <c:tickLblSkip val="1"/>
        <c:noMultiLvlLbl val="0"/>
      </c:catAx>
      <c:valAx>
        <c:axId val="231280272"/>
        <c:scaling>
          <c:orientation val="minMax"/>
        </c:scaling>
        <c:delete val="1"/>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low"/>
        <c:crossAx val="231284864"/>
        <c:crossesAt val="3"/>
        <c:crossBetween val="between"/>
        <c:majorUnit val="4000"/>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solidFill>
            <a:sysClr val="windowText" lastClr="000000"/>
          </a:solidFill>
        </a:defRPr>
      </a:pPr>
      <a:endParaRPr lang="sk-SK"/>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FNP</a:t>
            </a:r>
            <a:r>
              <a:rPr lang="cs-CZ" sz="1800" b="1" i="0" baseline="0">
                <a:effectLst/>
              </a:rPr>
              <a:t>V_C</a:t>
            </a:r>
            <a:endParaRPr lang="en-US">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k-SK"/>
        </a:p>
      </c:txPr>
    </c:title>
    <c:autoTitleDeleted val="0"/>
    <c:plotArea>
      <c:layout>
        <c:manualLayout>
          <c:layoutTarget val="inner"/>
          <c:xMode val="edge"/>
          <c:yMode val="edge"/>
          <c:x val="4.5439559039436722E-2"/>
          <c:y val="0.16980292565621882"/>
          <c:w val="0.72181933508311469"/>
          <c:h val="0.5847378973461651"/>
        </c:manualLayout>
      </c:layout>
      <c:areaChart>
        <c:grouping val="standard"/>
        <c:varyColors val="0"/>
        <c:ser>
          <c:idx val="0"/>
          <c:order val="0"/>
          <c:tx>
            <c:v>FNPV_C &gt;= 0 (pravdepodobnosť 0.5061)</c:v>
          </c:tx>
          <c:spPr>
            <a:solidFill>
              <a:schemeClr val="accent1"/>
            </a:solidFill>
            <a:ln>
              <a:noFill/>
            </a:ln>
            <a:effectLst/>
          </c:spPr>
          <c:cat>
            <c:numLit>
              <c:formatCode>#,##0</c:formatCode>
              <c:ptCount val="90"/>
              <c:pt idx="0">
                <c:v>-109785242.15725932</c:v>
              </c:pt>
              <c:pt idx="1">
                <c:v>-107185242.15725932</c:v>
              </c:pt>
              <c:pt idx="2">
                <c:v>-104585242.15725932</c:v>
              </c:pt>
              <c:pt idx="3">
                <c:v>-101985242.15725932</c:v>
              </c:pt>
              <c:pt idx="4">
                <c:v>-99385242.157259315</c:v>
              </c:pt>
              <c:pt idx="5">
                <c:v>-96785242.157259315</c:v>
              </c:pt>
              <c:pt idx="6">
                <c:v>-94185242.157259315</c:v>
              </c:pt>
              <c:pt idx="7">
                <c:v>-91585242.157259315</c:v>
              </c:pt>
              <c:pt idx="8">
                <c:v>-88985242.157259315</c:v>
              </c:pt>
              <c:pt idx="9">
                <c:v>-86385242.157259315</c:v>
              </c:pt>
              <c:pt idx="10">
                <c:v>-83785242.157259315</c:v>
              </c:pt>
              <c:pt idx="11">
                <c:v>-81185242.157259315</c:v>
              </c:pt>
              <c:pt idx="12">
                <c:v>-78585242.157259315</c:v>
              </c:pt>
              <c:pt idx="13">
                <c:v>-75985242.157259315</c:v>
              </c:pt>
              <c:pt idx="14">
                <c:v>-73385242.157259315</c:v>
              </c:pt>
              <c:pt idx="15">
                <c:v>-70785242.157259315</c:v>
              </c:pt>
              <c:pt idx="16">
                <c:v>-68185242.157259315</c:v>
              </c:pt>
              <c:pt idx="17">
                <c:v>-65585242.157259315</c:v>
              </c:pt>
              <c:pt idx="18">
                <c:v>-62985242.157259315</c:v>
              </c:pt>
              <c:pt idx="19">
                <c:v>-60385242.157259315</c:v>
              </c:pt>
              <c:pt idx="20">
                <c:v>-57785242.157259315</c:v>
              </c:pt>
              <c:pt idx="21">
                <c:v>-55185242.157259315</c:v>
              </c:pt>
              <c:pt idx="22">
                <c:v>-52585242.157259315</c:v>
              </c:pt>
              <c:pt idx="23">
                <c:v>-49985242.157259315</c:v>
              </c:pt>
              <c:pt idx="24">
                <c:v>-47385242.157259315</c:v>
              </c:pt>
              <c:pt idx="25">
                <c:v>-44785242.157259315</c:v>
              </c:pt>
              <c:pt idx="26">
                <c:v>-42185242.157259315</c:v>
              </c:pt>
              <c:pt idx="27">
                <c:v>-39585242.157259315</c:v>
              </c:pt>
              <c:pt idx="28">
                <c:v>-36985242.157259315</c:v>
              </c:pt>
              <c:pt idx="29">
                <c:v>-34385242.157259315</c:v>
              </c:pt>
              <c:pt idx="30">
                <c:v>-31785242.157259315</c:v>
              </c:pt>
              <c:pt idx="31">
                <c:v>-29185242.157259315</c:v>
              </c:pt>
              <c:pt idx="32">
                <c:v>-26585242.157259315</c:v>
              </c:pt>
              <c:pt idx="33">
                <c:v>-23985242.157259315</c:v>
              </c:pt>
              <c:pt idx="34">
                <c:v>-21385242.157259315</c:v>
              </c:pt>
              <c:pt idx="35">
                <c:v>-18785242.157259315</c:v>
              </c:pt>
              <c:pt idx="36">
                <c:v>-16185242.157259315</c:v>
              </c:pt>
              <c:pt idx="37">
                <c:v>-13585242.157259315</c:v>
              </c:pt>
              <c:pt idx="38">
                <c:v>-10985242.157259315</c:v>
              </c:pt>
              <c:pt idx="39">
                <c:v>-8385242.1572593153</c:v>
              </c:pt>
              <c:pt idx="40">
                <c:v>-5785242.1572593153</c:v>
              </c:pt>
              <c:pt idx="41">
                <c:v>-3185242.1572593153</c:v>
              </c:pt>
              <c:pt idx="42">
                <c:v>-585242.15725931525</c:v>
              </c:pt>
              <c:pt idx="43">
                <c:v>2014757.8427406847</c:v>
              </c:pt>
              <c:pt idx="44">
                <c:v>4614757.8427406847</c:v>
              </c:pt>
              <c:pt idx="45">
                <c:v>7214757.8427406847</c:v>
              </c:pt>
              <c:pt idx="46">
                <c:v>9814757.8427406847</c:v>
              </c:pt>
              <c:pt idx="47">
                <c:v>12414757.842740685</c:v>
              </c:pt>
              <c:pt idx="48">
                <c:v>15014757.842740685</c:v>
              </c:pt>
              <c:pt idx="49">
                <c:v>17614757.842740685</c:v>
              </c:pt>
              <c:pt idx="50">
                <c:v>20214757.842740685</c:v>
              </c:pt>
              <c:pt idx="51">
                <c:v>22814757.842740685</c:v>
              </c:pt>
              <c:pt idx="52">
                <c:v>25414757.842740685</c:v>
              </c:pt>
              <c:pt idx="53">
                <c:v>28014757.842740685</c:v>
              </c:pt>
              <c:pt idx="54">
                <c:v>30614757.842740685</c:v>
              </c:pt>
              <c:pt idx="55">
                <c:v>33214757.842740685</c:v>
              </c:pt>
              <c:pt idx="56">
                <c:v>35814757.842740685</c:v>
              </c:pt>
              <c:pt idx="57">
                <c:v>38414757.842740685</c:v>
              </c:pt>
              <c:pt idx="58">
                <c:v>41014757.842740685</c:v>
              </c:pt>
              <c:pt idx="59">
                <c:v>43614757.842740685</c:v>
              </c:pt>
              <c:pt idx="60">
                <c:v>46214757.842740685</c:v>
              </c:pt>
              <c:pt idx="61">
                <c:v>48814757.842740685</c:v>
              </c:pt>
              <c:pt idx="62">
                <c:v>51414757.842740685</c:v>
              </c:pt>
              <c:pt idx="63">
                <c:v>54014757.842740685</c:v>
              </c:pt>
              <c:pt idx="64">
                <c:v>56614757.842740685</c:v>
              </c:pt>
              <c:pt idx="65">
                <c:v>59214757.842740685</c:v>
              </c:pt>
              <c:pt idx="66">
                <c:v>61814757.842740685</c:v>
              </c:pt>
              <c:pt idx="67">
                <c:v>64414757.842740685</c:v>
              </c:pt>
              <c:pt idx="68">
                <c:v>67014757.842740685</c:v>
              </c:pt>
              <c:pt idx="69">
                <c:v>69614757.842740685</c:v>
              </c:pt>
              <c:pt idx="70">
                <c:v>72214757.842740685</c:v>
              </c:pt>
              <c:pt idx="71">
                <c:v>74814757.842740685</c:v>
              </c:pt>
              <c:pt idx="72">
                <c:v>77414757.842740685</c:v>
              </c:pt>
              <c:pt idx="73">
                <c:v>80014757.842740685</c:v>
              </c:pt>
              <c:pt idx="74">
                <c:v>82614757.842740685</c:v>
              </c:pt>
              <c:pt idx="75">
                <c:v>85214757.842740685</c:v>
              </c:pt>
              <c:pt idx="76">
                <c:v>87814757.842740685</c:v>
              </c:pt>
              <c:pt idx="77">
                <c:v>90414757.842740685</c:v>
              </c:pt>
              <c:pt idx="78">
                <c:v>93014757.842740685</c:v>
              </c:pt>
              <c:pt idx="79">
                <c:v>95614757.842740685</c:v>
              </c:pt>
              <c:pt idx="80">
                <c:v>98214757.842740685</c:v>
              </c:pt>
              <c:pt idx="81">
                <c:v>100814757.84274068</c:v>
              </c:pt>
              <c:pt idx="82">
                <c:v>103414757.84274068</c:v>
              </c:pt>
              <c:pt idx="83">
                <c:v>106014757.84274068</c:v>
              </c:pt>
              <c:pt idx="84">
                <c:v>108614757.84274068</c:v>
              </c:pt>
              <c:pt idx="85">
                <c:v>111214757.84274068</c:v>
              </c:pt>
              <c:pt idx="86">
                <c:v>113814757.84274068</c:v>
              </c:pt>
              <c:pt idx="87">
                <c:v>116414757.84274068</c:v>
              </c:pt>
              <c:pt idx="88">
                <c:v>119014757.84274068</c:v>
              </c:pt>
              <c:pt idx="89">
                <c:v>121614757.84274068</c:v>
              </c:pt>
            </c:numLit>
          </c:cat>
          <c:val>
            <c:numLit>
              <c:formatCode>#\ ##0.0000000000000000000000</c:formatCode>
              <c:ptCount val="90"/>
              <c:pt idx="0">
                <c:v>4.8575630835649079E-12</c:v>
              </c:pt>
              <c:pt idx="1">
                <c:v>7.0538045425640977E-12</c:v>
              </c:pt>
              <c:pt idx="2">
                <c:v>1.015221096181806E-11</c:v>
              </c:pt>
              <c:pt idx="3">
                <c:v>1.4482051462326632E-11</c:v>
              </c:pt>
              <c:pt idx="4">
                <c:v>2.0475370987726385E-11</c:v>
              </c:pt>
              <c:pt idx="5">
                <c:v>2.869232309270923E-11</c:v>
              </c:pt>
              <c:pt idx="6">
                <c:v>3.9850326697075911E-11</c:v>
              </c:pt>
              <c:pt idx="7">
                <c:v>5.485677852151994E-11</c:v>
              </c:pt>
              <c:pt idx="8">
                <c:v>7.4844683134400402E-11</c:v>
              </c:pt>
              <c:pt idx="9">
                <c:v>1.0121009872508031E-10</c:v>
              </c:pt>
              <c:pt idx="10">
                <c:v>1.3564974546834459E-10</c:v>
              </c:pt>
              <c:pt idx="11">
                <c:v>1.8019650285092193E-10</c:v>
              </c:pt>
              <c:pt idx="12">
                <c:v>2.3724986472821011E-10</c:v>
              </c:pt>
              <c:pt idx="13">
                <c:v>3.0959777371937894E-10</c:v>
              </c:pt>
              <c:pt idx="14">
                <c:v>4.0042568292488316E-10</c:v>
              </c:pt>
              <c:pt idx="15">
                <c:v>5.1330826975799126E-10</c:v>
              </c:pt>
              <c:pt idx="16">
                <c:v>6.5217904061733852E-10</c:v>
              </c:pt>
              <c:pt idx="17">
                <c:v>8.2127320619562548E-10</c:v>
              </c:pt>
              <c:pt idx="18">
                <c:v>1.0250397598090834E-9</c:v>
              </c:pt>
              <c:pt idx="19">
                <c:v>1.2680197230703219E-9</c:v>
              </c:pt>
              <c:pt idx="20">
                <c:v>1.5546890736351043E-9</c:v>
              </c:pt>
              <c:pt idx="21">
                <c:v>1.8892669369273248E-9</c:v>
              </c:pt>
              <c:pt idx="22">
                <c:v>2.2754921546258891E-9</c:v>
              </c:pt>
              <c:pt idx="23">
                <c:v>2.7163742256843161E-9</c:v>
              </c:pt>
              <c:pt idx="24">
                <c:v>3.2139276785368758E-9</c:v>
              </c:pt>
              <c:pt idx="25">
                <c:v>3.7689019476125978E-9</c:v>
              </c:pt>
              <c:pt idx="26">
                <c:v>4.3805215209689195E-9</c:v>
              </c:pt>
              <c:pt idx="27">
                <c:v>5.0462532020721915E-9</c:v>
              </c:pt>
              <c:pt idx="28">
                <c:v>5.7616184929677874E-9</c:v>
              </c:pt>
              <c:pt idx="29">
                <c:v>6.5200690972931444E-9</c:v>
              </c:pt>
              <c:pt idx="30">
                <c:v>7.3129421655135404E-9</c:v>
              </c:pt>
              <c:pt idx="31">
                <c:v>8.1295090651516713E-9</c:v>
              </c:pt>
              <c:pt idx="32">
                <c:v>8.9571271826566493E-9</c:v>
              </c:pt>
              <c:pt idx="33">
                <c:v>9.7814987163633499E-9</c:v>
              </c:pt>
              <c:pt idx="34">
                <c:v>1.0587033907370464E-8</c:v>
              </c:pt>
              <c:pt idx="35">
                <c:v>1.1357309109299665E-8</c:v>
              </c:pt>
              <c:pt idx="36">
                <c:v>1.2075603048159108E-8</c:v>
              </c:pt>
              <c:pt idx="37">
                <c:v>1.2725488153122718E-8</c:v>
              </c:pt>
              <c:pt idx="38">
                <c:v>1.3291448531328535E-8</c:v>
              </c:pt>
              <c:pt idx="39">
                <c:v>1.3759492539778258E-8</c:v>
              </c:pt>
              <c:pt idx="40">
                <c:v>1.4117726384704962E-8</c:v>
              </c:pt>
              <c:pt idx="41">
                <c:v>1.4356855999074336E-8</c:v>
              </c:pt>
              <c:pt idx="42">
                <c:v>1.4470587660136598E-8</c:v>
              </c:pt>
              <c:pt idx="43">
                <c:v>1.4455903246957979E-8</c:v>
              </c:pt>
              <c:pt idx="44">
                <c:v>1.4313193334049387E-8</c:v>
              </c:pt>
              <c:pt idx="45">
                <c:v>1.4046239928434075E-8</c:v>
              </c:pt>
              <c:pt idx="46">
                <c:v>1.3662049915204731E-8</c:v>
              </c:pt>
              <c:pt idx="47">
                <c:v>1.3170549450094737E-8</c:v>
              </c:pt>
              <c:pt idx="48">
                <c:v>1.258415790422786E-8</c:v>
              </c:pt>
              <c:pt idx="49">
                <c:v>1.1917266880898389E-8</c:v>
              </c:pt>
              <c:pt idx="50">
                <c:v>1.1185654779931018E-8</c:v>
              </c:pt>
              <c:pt idx="51">
                <c:v>1.0405870058041388E-8</c:v>
              </c:pt>
              <c:pt idx="52">
                <c:v>9.5946166079719212E-9</c:v>
              </c:pt>
              <c:pt idx="53">
                <c:v>8.7681726500718513E-9</c:v>
              </c:pt>
              <c:pt idx="54">
                <c:v>7.9418704841036989E-9</c:v>
              </c:pt>
              <c:pt idx="55">
                <c:v>7.1296588269969075E-9</c:v>
              </c:pt>
              <c:pt idx="56">
                <c:v>6.3437628075113344E-9</c:v>
              </c:pt>
              <c:pt idx="57">
                <c:v>5.5944495897307319E-9</c:v>
              </c:pt>
              <c:pt idx="58">
                <c:v>4.8899006293328486E-9</c:v>
              </c:pt>
              <c:pt idx="59">
                <c:v>4.2361852402463827E-9</c:v>
              </c:pt>
              <c:pt idx="60">
                <c:v>3.6373248699680778E-9</c:v>
              </c:pt>
              <c:pt idx="61">
                <c:v>3.0954335237803063E-9</c:v>
              </c:pt>
              <c:pt idx="62">
                <c:v>2.6109172745839892E-9</c:v>
              </c:pt>
              <c:pt idx="63">
                <c:v>2.1827147431990443E-9</c:v>
              </c:pt>
              <c:pt idx="64">
                <c:v>1.8085607126757145E-9</c:v>
              </c:pt>
              <c:pt idx="65">
                <c:v>1.4852564370234441E-9</c:v>
              </c:pt>
              <c:pt idx="66">
                <c:v>1.2089324482407469E-9</c:v>
              </c:pt>
              <c:pt idx="67">
                <c:v>9.7529245797396238E-10</c:v>
              </c:pt>
              <c:pt idx="68">
                <c:v>7.7982999828424614E-10</c:v>
              </c:pt>
              <c:pt idx="69">
                <c:v>6.1801248607717644E-10</c:v>
              </c:pt>
              <c:pt idx="70">
                <c:v>4.8543021144775648E-10</c:v>
              </c:pt>
              <c:pt idx="71">
                <c:v>3.7791018298327704E-10</c:v>
              </c:pt>
              <c:pt idx="72">
                <c:v>2.9159671509005428E-10</c:v>
              </c:pt>
              <c:pt idx="73">
                <c:v>2.2300207309809833E-10</c:v>
              </c:pt>
              <c:pt idx="74">
                <c:v>1.6903140986611359E-10</c:v>
              </c:pt>
              <c:pt idx="75">
                <c:v>1.2698667961468957E-10</c:v>
              </c:pt>
              <c:pt idx="76">
                <c:v>9.4554273403860753E-11</c:v>
              </c:pt>
              <c:pt idx="77">
                <c:v>6.9780872612103846E-11</c:v>
              </c:pt>
              <c:pt idx="78">
                <c:v>5.1041551919513598E-11</c:v>
              </c:pt>
              <c:pt idx="79">
                <c:v>3.7003566590176447E-11</c:v>
              </c:pt>
              <c:pt idx="80">
                <c:v>2.6588604301876489E-11</c:v>
              </c:pt>
              <c:pt idx="81">
                <c:v>1.893562901324231E-11</c:v>
              </c:pt>
              <c:pt idx="82">
                <c:v>1.3365837358060352E-11</c:v>
              </c:pt>
              <c:pt idx="83">
                <c:v>9.3507155998103881E-12</c:v>
              </c:pt>
              <c:pt idx="84">
                <c:v>6.483742589158598E-12</c:v>
              </c:pt>
              <c:pt idx="85">
                <c:v>4.4559357619266274E-12</c:v>
              </c:pt>
              <c:pt idx="86">
                <c:v>3.035179066704052E-12</c:v>
              </c:pt>
              <c:pt idx="87">
                <c:v>2.0490943486381596E-12</c:v>
              </c:pt>
              <c:pt idx="88">
                <c:v>1.3711085313000232E-12</c:v>
              </c:pt>
              <c:pt idx="89">
                <c:v>9.0931415355073363E-13</c:v>
              </c:pt>
            </c:numLit>
          </c:val>
          <c:extLst>
            <c:ext xmlns:c16="http://schemas.microsoft.com/office/drawing/2014/chart" uri="{C3380CC4-5D6E-409C-BE32-E72D297353CC}">
              <c16:uniqueId val="{00000000-00A4-4309-A0DC-0C4153EB7235}"/>
            </c:ext>
          </c:extLst>
        </c:ser>
        <c:dLbls>
          <c:showLegendKey val="0"/>
          <c:showVal val="0"/>
          <c:showCatName val="0"/>
          <c:showSerName val="0"/>
          <c:showPercent val="0"/>
          <c:showBubbleSize val="0"/>
        </c:dLbls>
        <c:axId val="451185584"/>
        <c:axId val="442330840"/>
      </c:areaChart>
      <c:areaChart>
        <c:grouping val="standard"/>
        <c:varyColors val="0"/>
        <c:ser>
          <c:idx val="1"/>
          <c:order val="1"/>
          <c:tx>
            <c:v>FNPV_C &lt;= 0 (pravdepodobnosť 0.4939)</c:v>
          </c:tx>
          <c:spPr>
            <a:solidFill>
              <a:schemeClr val="accent2"/>
            </a:solidFill>
            <a:ln w="25400">
              <a:noFill/>
            </a:ln>
            <a:effectLst/>
          </c:spPr>
          <c:cat>
            <c:numLit>
              <c:formatCode>#\ ##0.0</c:formatCode>
              <c:ptCount val="90"/>
              <c:pt idx="0">
                <c:v>-4</c:v>
              </c:pt>
              <c:pt idx="1">
                <c:v>-3.9056292108521382</c:v>
              </c:pt>
              <c:pt idx="2">
                <c:v>-3.811258421704276</c:v>
              </c:pt>
              <c:pt idx="3">
                <c:v>-3.7168876325564142</c:v>
              </c:pt>
              <c:pt idx="4">
                <c:v>-3.622516843408552</c:v>
              </c:pt>
              <c:pt idx="5">
                <c:v>-3.5281460542606902</c:v>
              </c:pt>
              <c:pt idx="6">
                <c:v>-3.4337752651128279</c:v>
              </c:pt>
              <c:pt idx="7">
                <c:v>-3.3394044759649661</c:v>
              </c:pt>
              <c:pt idx="8">
                <c:v>-3.2450336868171044</c:v>
              </c:pt>
              <c:pt idx="9">
                <c:v>-3.1506628976692421</c:v>
              </c:pt>
              <c:pt idx="10">
                <c:v>-3.0562921085213803</c:v>
              </c:pt>
              <c:pt idx="11">
                <c:v>-2.9619213193735181</c:v>
              </c:pt>
              <c:pt idx="12">
                <c:v>-2.8675505302256563</c:v>
              </c:pt>
              <c:pt idx="13">
                <c:v>-2.7731797410777945</c:v>
              </c:pt>
              <c:pt idx="14">
                <c:v>-2.6788089519299323</c:v>
              </c:pt>
              <c:pt idx="15">
                <c:v>-2.5844381627820705</c:v>
              </c:pt>
              <c:pt idx="16">
                <c:v>-2.4900673736342083</c:v>
              </c:pt>
              <c:pt idx="17">
                <c:v>-2.3956965844863465</c:v>
              </c:pt>
              <c:pt idx="18">
                <c:v>-2.3013257953384847</c:v>
              </c:pt>
              <c:pt idx="19">
                <c:v>-2.2069550061906229</c:v>
              </c:pt>
              <c:pt idx="20">
                <c:v>-2.1125842170427607</c:v>
              </c:pt>
              <c:pt idx="21">
                <c:v>-2.0182134278948989</c:v>
              </c:pt>
              <c:pt idx="22">
                <c:v>-1.9238426387470369</c:v>
              </c:pt>
              <c:pt idx="23">
                <c:v>-1.8294718495991749</c:v>
              </c:pt>
              <c:pt idx="24">
                <c:v>-1.7351010604513128</c:v>
              </c:pt>
              <c:pt idx="25">
                <c:v>-1.6407302713034508</c:v>
              </c:pt>
              <c:pt idx="26">
                <c:v>-1.5463594821555888</c:v>
              </c:pt>
              <c:pt idx="27">
                <c:v>-1.4519886930077268</c:v>
              </c:pt>
              <c:pt idx="28">
                <c:v>-1.357617903859865</c:v>
              </c:pt>
              <c:pt idx="29">
                <c:v>-1.263247114712003</c:v>
              </c:pt>
              <c:pt idx="30">
                <c:v>-1.168876325564141</c:v>
              </c:pt>
              <c:pt idx="31">
                <c:v>-1.074505536416279</c:v>
              </c:pt>
              <c:pt idx="32">
                <c:v>-0.98013474726841698</c:v>
              </c:pt>
              <c:pt idx="33">
                <c:v>-0.88576395812055508</c:v>
              </c:pt>
              <c:pt idx="34">
                <c:v>-0.79139316897269307</c:v>
              </c:pt>
              <c:pt idx="35">
                <c:v>-0.69702237982483106</c:v>
              </c:pt>
              <c:pt idx="36">
                <c:v>-0.60265159067696916</c:v>
              </c:pt>
              <c:pt idx="37">
                <c:v>-0.50828080152910715</c:v>
              </c:pt>
              <c:pt idx="38">
                <c:v>-0.41391001238124514</c:v>
              </c:pt>
              <c:pt idx="39">
                <c:v>-0.31953922323338319</c:v>
              </c:pt>
              <c:pt idx="40">
                <c:v>-0.22516843408552117</c:v>
              </c:pt>
              <c:pt idx="41">
                <c:v>-0.13079764493765922</c:v>
              </c:pt>
              <c:pt idx="42">
                <c:v>-3.6426855789797243E-2</c:v>
              </c:pt>
              <c:pt idx="43">
                <c:v>5.7943933358064734E-2</c:v>
              </c:pt>
              <c:pt idx="44">
                <c:v>0.15231472250592673</c:v>
              </c:pt>
              <c:pt idx="45">
                <c:v>0.24668551165378871</c:v>
              </c:pt>
              <c:pt idx="46">
                <c:v>0.34105630080165067</c:v>
              </c:pt>
              <c:pt idx="47">
                <c:v>0.43542708994951262</c:v>
              </c:pt>
              <c:pt idx="48">
                <c:v>0.52979787909737464</c:v>
              </c:pt>
              <c:pt idx="49">
                <c:v>0.62416866824523654</c:v>
              </c:pt>
              <c:pt idx="50">
                <c:v>0.71853945739309855</c:v>
              </c:pt>
              <c:pt idx="51">
                <c:v>0.81291024654096056</c:v>
              </c:pt>
              <c:pt idx="52">
                <c:v>0.90728103568882246</c:v>
              </c:pt>
              <c:pt idx="53">
                <c:v>1.0016518248366846</c:v>
              </c:pt>
              <c:pt idx="54">
                <c:v>1.0960226139845464</c:v>
              </c:pt>
              <c:pt idx="55">
                <c:v>1.1903934031324084</c:v>
              </c:pt>
              <c:pt idx="56">
                <c:v>1.2847641922802704</c:v>
              </c:pt>
              <c:pt idx="57">
                <c:v>1.3791349814281324</c:v>
              </c:pt>
              <c:pt idx="58">
                <c:v>1.4735057705759944</c:v>
              </c:pt>
              <c:pt idx="59">
                <c:v>1.5678765597238564</c:v>
              </c:pt>
              <c:pt idx="60">
                <c:v>1.6622473488717182</c:v>
              </c:pt>
              <c:pt idx="61">
                <c:v>1.7566181380195802</c:v>
              </c:pt>
              <c:pt idx="62">
                <c:v>1.8509889271674422</c:v>
              </c:pt>
              <c:pt idx="63">
                <c:v>1.9453597163153042</c:v>
              </c:pt>
              <c:pt idx="64">
                <c:v>2.039730505463166</c:v>
              </c:pt>
              <c:pt idx="65">
                <c:v>2.1341012946110283</c:v>
              </c:pt>
              <c:pt idx="66">
                <c:v>2.2284720837588901</c:v>
              </c:pt>
              <c:pt idx="67">
                <c:v>2.3228428729067523</c:v>
              </c:pt>
              <c:pt idx="68">
                <c:v>2.4172136620546141</c:v>
              </c:pt>
              <c:pt idx="69">
                <c:v>2.5115844512024763</c:v>
              </c:pt>
              <c:pt idx="70">
                <c:v>2.6059552403503385</c:v>
              </c:pt>
              <c:pt idx="71">
                <c:v>2.7003260294982003</c:v>
              </c:pt>
              <c:pt idx="72">
                <c:v>2.7946968186460621</c:v>
              </c:pt>
              <c:pt idx="73">
                <c:v>2.8890676077939244</c:v>
              </c:pt>
              <c:pt idx="74">
                <c:v>2.9834383969417861</c:v>
              </c:pt>
              <c:pt idx="75">
                <c:v>3.0778091860896484</c:v>
              </c:pt>
              <c:pt idx="76">
                <c:v>3.1721799752375102</c:v>
              </c:pt>
              <c:pt idx="77">
                <c:v>3.2665507643853724</c:v>
              </c:pt>
              <c:pt idx="78">
                <c:v>3.3609215535332342</c:v>
              </c:pt>
              <c:pt idx="79">
                <c:v>3.455292342681096</c:v>
              </c:pt>
              <c:pt idx="80">
                <c:v>3.5496631318289582</c:v>
              </c:pt>
              <c:pt idx="81">
                <c:v>3.64403392097682</c:v>
              </c:pt>
              <c:pt idx="82">
                <c:v>3.7384047101246822</c:v>
              </c:pt>
              <c:pt idx="83">
                <c:v>3.832775499272544</c:v>
              </c:pt>
              <c:pt idx="84">
                <c:v>3.9271462884204058</c:v>
              </c:pt>
              <c:pt idx="85">
                <c:v>4.0215170775682676</c:v>
              </c:pt>
              <c:pt idx="86">
                <c:v>4.1158878667161298</c:v>
              </c:pt>
              <c:pt idx="87">
                <c:v>4.2102586558639921</c:v>
              </c:pt>
              <c:pt idx="88">
                <c:v>4.3046294450118543</c:v>
              </c:pt>
              <c:pt idx="89">
                <c:v>4.3990002341597156</c:v>
              </c:pt>
            </c:numLit>
          </c:cat>
          <c:val>
            <c:numLit>
              <c:formatCode>General</c:formatCode>
              <c:ptCount val="90"/>
              <c:pt idx="0">
                <c:v>4.8575630835649079E-12</c:v>
              </c:pt>
              <c:pt idx="1">
                <c:v>7.0538045425640977E-12</c:v>
              </c:pt>
              <c:pt idx="2">
                <c:v>1.015221096181806E-11</c:v>
              </c:pt>
              <c:pt idx="3">
                <c:v>1.4482051462326632E-11</c:v>
              </c:pt>
              <c:pt idx="4">
                <c:v>2.0475370987726385E-11</c:v>
              </c:pt>
              <c:pt idx="5">
                <c:v>2.869232309270923E-11</c:v>
              </c:pt>
              <c:pt idx="6">
                <c:v>3.9850326697075911E-11</c:v>
              </c:pt>
              <c:pt idx="7">
                <c:v>5.485677852151994E-11</c:v>
              </c:pt>
              <c:pt idx="8">
                <c:v>7.4844683134400402E-11</c:v>
              </c:pt>
              <c:pt idx="9">
                <c:v>1.0121009872508031E-10</c:v>
              </c:pt>
              <c:pt idx="10">
                <c:v>1.3564974546834459E-10</c:v>
              </c:pt>
              <c:pt idx="11">
                <c:v>1.8019650285092193E-10</c:v>
              </c:pt>
              <c:pt idx="12">
                <c:v>2.3724986472821011E-10</c:v>
              </c:pt>
              <c:pt idx="13">
                <c:v>3.0959777371937894E-10</c:v>
              </c:pt>
              <c:pt idx="14">
                <c:v>4.0042568292488316E-10</c:v>
              </c:pt>
              <c:pt idx="15">
                <c:v>5.1330826975799126E-10</c:v>
              </c:pt>
              <c:pt idx="16">
                <c:v>6.5217904061733852E-10</c:v>
              </c:pt>
              <c:pt idx="17">
                <c:v>8.2127320619562548E-10</c:v>
              </c:pt>
              <c:pt idx="18">
                <c:v>1.0250397598090834E-9</c:v>
              </c:pt>
              <c:pt idx="19">
                <c:v>1.2680197230703219E-9</c:v>
              </c:pt>
              <c:pt idx="20">
                <c:v>1.5546890736351043E-9</c:v>
              </c:pt>
              <c:pt idx="21">
                <c:v>1.8892669369273248E-9</c:v>
              </c:pt>
              <c:pt idx="22">
                <c:v>2.2754921546258891E-9</c:v>
              </c:pt>
              <c:pt idx="23">
                <c:v>2.7163742256843161E-9</c:v>
              </c:pt>
              <c:pt idx="24">
                <c:v>3.2139276785368758E-9</c:v>
              </c:pt>
              <c:pt idx="25">
                <c:v>3.7689019476125978E-9</c:v>
              </c:pt>
              <c:pt idx="26">
                <c:v>4.3805215209689195E-9</c:v>
              </c:pt>
              <c:pt idx="27">
                <c:v>5.0462532020721915E-9</c:v>
              </c:pt>
              <c:pt idx="28">
                <c:v>5.7616184929677874E-9</c:v>
              </c:pt>
              <c:pt idx="29">
                <c:v>6.5200690972931444E-9</c:v>
              </c:pt>
              <c:pt idx="30">
                <c:v>7.3129421655135404E-9</c:v>
              </c:pt>
              <c:pt idx="31">
                <c:v>8.1295090651516713E-9</c:v>
              </c:pt>
              <c:pt idx="32">
                <c:v>8.9571271826566493E-9</c:v>
              </c:pt>
              <c:pt idx="33">
                <c:v>9.7814987163633499E-9</c:v>
              </c:pt>
              <c:pt idx="34">
                <c:v>1.0587033907370464E-8</c:v>
              </c:pt>
              <c:pt idx="35">
                <c:v>1.1357309109299665E-8</c:v>
              </c:pt>
              <c:pt idx="36">
                <c:v>1.2075603048159108E-8</c:v>
              </c:pt>
              <c:pt idx="37">
                <c:v>1.2725488153122718E-8</c:v>
              </c:pt>
              <c:pt idx="38">
                <c:v>1.3291448531328535E-8</c:v>
              </c:pt>
              <c:pt idx="39">
                <c:v>1.3759492539778258E-8</c:v>
              </c:pt>
              <c:pt idx="40">
                <c:v>1.4117726384704962E-8</c:v>
              </c:pt>
              <c:pt idx="41">
                <c:v>1.4356855999074336E-8</c:v>
              </c:pt>
              <c:pt idx="42">
                <c:v>1.4470587660136598E-8</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numLit>
          </c:val>
          <c:extLst>
            <c:ext xmlns:c16="http://schemas.microsoft.com/office/drawing/2014/chart" uri="{C3380CC4-5D6E-409C-BE32-E72D297353CC}">
              <c16:uniqueId val="{00000001-00A4-4309-A0DC-0C4153EB7235}"/>
            </c:ext>
          </c:extLst>
        </c:ser>
        <c:dLbls>
          <c:showLegendKey val="0"/>
          <c:showVal val="0"/>
          <c:showCatName val="0"/>
          <c:showSerName val="0"/>
          <c:showPercent val="0"/>
          <c:showBubbleSize val="0"/>
        </c:dLbls>
        <c:axId val="606951240"/>
        <c:axId val="682944704"/>
      </c:areaChart>
      <c:catAx>
        <c:axId val="451185584"/>
        <c:scaling>
          <c:orientation val="minMax"/>
        </c:scaling>
        <c:delete val="0"/>
        <c:axPos val="b"/>
        <c:numFmt formatCode="#,##0"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442330840"/>
        <c:crosses val="autoZero"/>
        <c:auto val="1"/>
        <c:lblAlgn val="ctr"/>
        <c:lblOffset val="100"/>
        <c:noMultiLvlLbl val="0"/>
      </c:catAx>
      <c:valAx>
        <c:axId val="442330840"/>
        <c:scaling>
          <c:orientation val="minMax"/>
        </c:scaling>
        <c:delete val="1"/>
        <c:axPos val="l"/>
        <c:majorGridlines>
          <c:spPr>
            <a:ln w="9525" cap="flat" cmpd="sng" algn="ctr">
              <a:solidFill>
                <a:schemeClr val="tx1">
                  <a:lumMod val="15000"/>
                  <a:lumOff val="85000"/>
                </a:schemeClr>
              </a:solidFill>
              <a:round/>
            </a:ln>
            <a:effectLst/>
          </c:spPr>
        </c:majorGridlines>
        <c:numFmt formatCode="#\ ##0.0000000000000000000000" sourceLinked="1"/>
        <c:majorTickMark val="none"/>
        <c:minorTickMark val="none"/>
        <c:tickLblPos val="nextTo"/>
        <c:crossAx val="451185584"/>
        <c:crosses val="autoZero"/>
        <c:crossBetween val="midCat"/>
      </c:valAx>
      <c:valAx>
        <c:axId val="682944704"/>
        <c:scaling>
          <c:orientation val="minMax"/>
        </c:scaling>
        <c:delete val="1"/>
        <c:axPos val="r"/>
        <c:numFmt formatCode="General" sourceLinked="1"/>
        <c:majorTickMark val="out"/>
        <c:minorTickMark val="none"/>
        <c:tickLblPos val="nextTo"/>
        <c:crossAx val="606951240"/>
        <c:crosses val="max"/>
        <c:crossBetween val="midCat"/>
      </c:valAx>
      <c:catAx>
        <c:axId val="606951240"/>
        <c:scaling>
          <c:orientation val="minMax"/>
        </c:scaling>
        <c:delete val="1"/>
        <c:axPos val="t"/>
        <c:numFmt formatCode="#\ ##0.0" sourceLinked="1"/>
        <c:majorTickMark val="out"/>
        <c:minorTickMark val="none"/>
        <c:tickLblPos val="nextTo"/>
        <c:crossAx val="682944704"/>
        <c:crosses val="max"/>
        <c:auto val="1"/>
        <c:lblAlgn val="ctr"/>
        <c:lblOffset val="100"/>
        <c:tickLblSkip val="255"/>
        <c:noMultiLvlLbl val="0"/>
      </c:cat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legend>
    <c:plotVisOnly val="1"/>
    <c:dispBlanksAs val="zero"/>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ENPV</a:t>
            </a:r>
            <a:r>
              <a:rPr lang="cs-CZ" sz="1800" b="1" i="0" baseline="0">
                <a:effectLst/>
              </a:rPr>
              <a:t> </a:t>
            </a:r>
            <a:endParaRPr lang="en-US">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k-SK"/>
        </a:p>
      </c:txPr>
    </c:title>
    <c:autoTitleDeleted val="0"/>
    <c:plotArea>
      <c:layout/>
      <c:areaChart>
        <c:grouping val="standard"/>
        <c:varyColors val="0"/>
        <c:ser>
          <c:idx val="0"/>
          <c:order val="0"/>
          <c:tx>
            <c:v>ENPV &gt;= 0 (pravdepodobnosť 0.7074)</c:v>
          </c:tx>
          <c:spPr>
            <a:solidFill>
              <a:schemeClr val="accent1"/>
            </a:solidFill>
            <a:ln>
              <a:noFill/>
            </a:ln>
            <a:effectLst/>
          </c:spPr>
          <c:cat>
            <c:numLit>
              <c:formatCode>#\ ##0.0</c:formatCode>
              <c:ptCount val="69"/>
              <c:pt idx="0">
                <c:v>-82076026.31347245</c:v>
              </c:pt>
              <c:pt idx="1">
                <c:v>-78776026.31347245</c:v>
              </c:pt>
              <c:pt idx="2">
                <c:v>-75476026.31347245</c:v>
              </c:pt>
              <c:pt idx="3">
                <c:v>-72176026.31347245</c:v>
              </c:pt>
              <c:pt idx="4">
                <c:v>-68876026.31347245</c:v>
              </c:pt>
              <c:pt idx="5">
                <c:v>-65576026.31347245</c:v>
              </c:pt>
              <c:pt idx="6">
                <c:v>-62276026.31347245</c:v>
              </c:pt>
              <c:pt idx="7">
                <c:v>-58976026.31347245</c:v>
              </c:pt>
              <c:pt idx="8">
                <c:v>-55676026.31347245</c:v>
              </c:pt>
              <c:pt idx="9">
                <c:v>-52376026.31347245</c:v>
              </c:pt>
              <c:pt idx="10">
                <c:v>-49076026.31347245</c:v>
              </c:pt>
              <c:pt idx="11">
                <c:v>-45776026.31347245</c:v>
              </c:pt>
              <c:pt idx="12">
                <c:v>-42476026.31347245</c:v>
              </c:pt>
              <c:pt idx="13">
                <c:v>-39176026.31347245</c:v>
              </c:pt>
              <c:pt idx="14">
                <c:v>-35876026.31347245</c:v>
              </c:pt>
              <c:pt idx="15">
                <c:v>-32576026.31347245</c:v>
              </c:pt>
              <c:pt idx="16">
                <c:v>-29276026.31347245</c:v>
              </c:pt>
              <c:pt idx="17">
                <c:v>-25976026.31347245</c:v>
              </c:pt>
              <c:pt idx="18">
                <c:v>-22676026.31347245</c:v>
              </c:pt>
              <c:pt idx="19">
                <c:v>-19376026.31347245</c:v>
              </c:pt>
              <c:pt idx="20">
                <c:v>-16076026.31347245</c:v>
              </c:pt>
              <c:pt idx="21">
                <c:v>-12776026.31347245</c:v>
              </c:pt>
              <c:pt idx="22">
                <c:v>-9476026.3134724498</c:v>
              </c:pt>
              <c:pt idx="23">
                <c:v>-6176026.3134724498</c:v>
              </c:pt>
              <c:pt idx="24">
                <c:v>-2876026.3134724498</c:v>
              </c:pt>
              <c:pt idx="25">
                <c:v>423973.68652755022</c:v>
              </c:pt>
              <c:pt idx="26">
                <c:v>3723973.6865275502</c:v>
              </c:pt>
              <c:pt idx="27">
                <c:v>7023973.6865275502</c:v>
              </c:pt>
              <c:pt idx="28">
                <c:v>10323973.68652755</c:v>
              </c:pt>
              <c:pt idx="29">
                <c:v>13623973.68652755</c:v>
              </c:pt>
              <c:pt idx="30">
                <c:v>16923973.68652755</c:v>
              </c:pt>
              <c:pt idx="31">
                <c:v>20223973.68652755</c:v>
              </c:pt>
              <c:pt idx="32">
                <c:v>23523973.68652755</c:v>
              </c:pt>
              <c:pt idx="33">
                <c:v>26823973.68652755</c:v>
              </c:pt>
              <c:pt idx="34">
                <c:v>30123973.68652755</c:v>
              </c:pt>
              <c:pt idx="35">
                <c:v>33423973.68652755</c:v>
              </c:pt>
              <c:pt idx="36">
                <c:v>36723973.68652755</c:v>
              </c:pt>
              <c:pt idx="37">
                <c:v>40023973.68652755</c:v>
              </c:pt>
              <c:pt idx="38">
                <c:v>43323973.68652755</c:v>
              </c:pt>
              <c:pt idx="39">
                <c:v>46623973.68652755</c:v>
              </c:pt>
              <c:pt idx="40">
                <c:v>49923973.68652755</c:v>
              </c:pt>
              <c:pt idx="41">
                <c:v>53223973.68652755</c:v>
              </c:pt>
              <c:pt idx="42">
                <c:v>56523973.68652755</c:v>
              </c:pt>
              <c:pt idx="43">
                <c:v>59823973.68652755</c:v>
              </c:pt>
              <c:pt idx="44">
                <c:v>63123973.68652755</c:v>
              </c:pt>
              <c:pt idx="45">
                <c:v>66423973.68652755</c:v>
              </c:pt>
              <c:pt idx="46">
                <c:v>69723973.68652755</c:v>
              </c:pt>
              <c:pt idx="47">
                <c:v>73023973.68652755</c:v>
              </c:pt>
              <c:pt idx="48">
                <c:v>76323973.68652755</c:v>
              </c:pt>
              <c:pt idx="49">
                <c:v>79623973.68652755</c:v>
              </c:pt>
              <c:pt idx="50">
                <c:v>82923973.68652755</c:v>
              </c:pt>
              <c:pt idx="51">
                <c:v>86223973.68652755</c:v>
              </c:pt>
              <c:pt idx="52">
                <c:v>89523973.68652755</c:v>
              </c:pt>
              <c:pt idx="53">
                <c:v>92823973.68652755</c:v>
              </c:pt>
              <c:pt idx="54">
                <c:v>96123973.68652755</c:v>
              </c:pt>
              <c:pt idx="55">
                <c:v>99423973.68652755</c:v>
              </c:pt>
              <c:pt idx="56">
                <c:v>102723973.68652755</c:v>
              </c:pt>
              <c:pt idx="57">
                <c:v>106023973.68652755</c:v>
              </c:pt>
              <c:pt idx="58">
                <c:v>109323973.68652755</c:v>
              </c:pt>
              <c:pt idx="59">
                <c:v>112623973.68652755</c:v>
              </c:pt>
              <c:pt idx="60">
                <c:v>115923973.68652755</c:v>
              </c:pt>
              <c:pt idx="61">
                <c:v>119223973.68652755</c:v>
              </c:pt>
              <c:pt idx="62">
                <c:v>122523973.68652755</c:v>
              </c:pt>
              <c:pt idx="63">
                <c:v>125823973.68652755</c:v>
              </c:pt>
              <c:pt idx="64">
                <c:v>129123973.68652755</c:v>
              </c:pt>
              <c:pt idx="65">
                <c:v>132423973.68652755</c:v>
              </c:pt>
              <c:pt idx="66">
                <c:v>135723973.68652755</c:v>
              </c:pt>
              <c:pt idx="67">
                <c:v>139023973.68652755</c:v>
              </c:pt>
              <c:pt idx="68">
                <c:v>142323973.68652755</c:v>
              </c:pt>
            </c:numLit>
          </c:cat>
          <c:val>
            <c:numLit>
              <c:formatCode>#\ ##0.0000000000000000000000</c:formatCode>
              <c:ptCount val="56"/>
              <c:pt idx="0">
                <c:v>2.1535257760148698E-12</c:v>
              </c:pt>
              <c:pt idx="1">
                <c:v>4.0106771842742877E-12</c:v>
              </c:pt>
              <c:pt idx="2">
                <c:v>7.3055497249775635E-12</c:v>
              </c:pt>
              <c:pt idx="3">
                <c:v>1.3015344126055446E-11</c:v>
              </c:pt>
              <c:pt idx="4">
                <c:v>2.2679108051637255E-11</c:v>
              </c:pt>
              <c:pt idx="5">
                <c:v>3.8651276854238056E-11</c:v>
              </c:pt>
              <c:pt idx="6">
                <c:v>6.4427203570715343E-11</c:v>
              </c:pt>
              <c:pt idx="7">
                <c:v>1.0503699242638134E-10</c:v>
              </c:pt>
              <c:pt idx="8">
                <c:v>1.6748766768362594E-10</c:v>
              </c:pt>
              <c:pt idx="9">
                <c:v>2.6121069368513708E-10</c:v>
              </c:pt>
              <c:pt idx="10">
                <c:v>3.9844339384624863E-10</c:v>
              </c:pt>
              <c:pt idx="11">
                <c:v>5.9444252377465925E-10</c:v>
              </c:pt>
              <c:pt idx="12">
                <c:v>8.6740249818754625E-10</c:v>
              </c:pt>
              <c:pt idx="13">
                <c:v>1.2379383822350896E-9</c:v>
              </c:pt>
              <c:pt idx="14">
                <c:v>1.7280048170594337E-9</c:v>
              </c:pt>
              <c:pt idx="15">
                <c:v>2.359165615067085E-9</c:v>
              </c:pt>
              <c:pt idx="16">
                <c:v>3.1502097492110322E-9</c:v>
              </c:pt>
              <c:pt idx="17">
                <c:v>4.1142253260712104E-9</c:v>
              </c:pt>
              <c:pt idx="18">
                <c:v>5.2553813539700737E-9</c:v>
              </c:pt>
              <c:pt idx="19">
                <c:v>6.5658046777257438E-9</c:v>
              </c:pt>
              <c:pt idx="20">
                <c:v>8.0230452702330401E-9</c:v>
              </c:pt>
              <c:pt idx="21">
                <c:v>9.588663699286255E-9</c:v>
              </c:pt>
              <c:pt idx="22">
                <c:v>1.1208422462974105E-8</c:v>
              </c:pt>
              <c:pt idx="23">
                <c:v>1.2814405337383766E-8</c:v>
              </c:pt>
              <c:pt idx="24">
                <c:v>1.4329135290603464E-8</c:v>
              </c:pt>
              <c:pt idx="25">
                <c:v>1.5671445967494881E-8</c:v>
              </c:pt>
              <c:pt idx="26">
                <c:v>1.676353929126055E-8</c:v>
              </c:pt>
              <c:pt idx="27">
                <c:v>1.7538398120783026E-8</c:v>
              </c:pt>
              <c:pt idx="28">
                <c:v>1.7946579721332302E-8</c:v>
              </c:pt>
              <c:pt idx="29">
                <c:v>1.7961434596142679E-8</c:v>
              </c:pt>
              <c:pt idx="30">
                <c:v>1.7581985214323784E-8</c:v>
              </c:pt>
              <c:pt idx="31">
                <c:v>1.6833032438304656E-8</c:v>
              </c:pt>
              <c:pt idx="32">
                <c:v>1.576247354688325E-8</c:v>
              </c:pt>
              <c:pt idx="33">
                <c:v>1.4436234953078449E-8</c:v>
              </c:pt>
              <c:pt idx="34">
                <c:v>1.2931564585575872E-8</c:v>
              </c:pt>
              <c:pt idx="35">
                <c:v>1.1329630997734972E-8</c:v>
              </c:pt>
              <c:pt idx="36">
                <c:v>9.7084079651166514E-9</c:v>
              </c:pt>
              <c:pt idx="37">
                <c:v>8.1366911422028073E-9</c:v>
              </c:pt>
              <c:pt idx="38">
                <c:v>6.6698367577029834E-9</c:v>
              </c:pt>
              <c:pt idx="39">
                <c:v>5.3474919456519337E-9</c:v>
              </c:pt>
              <c:pt idx="40">
                <c:v>4.1932681357777198E-9</c:v>
              </c:pt>
              <c:pt idx="41">
                <c:v>3.216049239208656E-9</c:v>
              </c:pt>
              <c:pt idx="42">
                <c:v>2.412461022805159E-9</c:v>
              </c:pt>
              <c:pt idx="43">
                <c:v>1.7699682739999671E-9</c:v>
              </c:pt>
              <c:pt idx="44">
                <c:v>1.2701008859123005E-9</c:v>
              </c:pt>
              <c:pt idx="45">
                <c:v>8.9141208296542418E-10</c:v>
              </c:pt>
              <c:pt idx="46">
                <c:v>6.1190834329163513E-10</c:v>
              </c:pt>
              <c:pt idx="47">
                <c:v>4.1082966324528887E-10</c:v>
              </c:pt>
              <c:pt idx="48">
                <c:v>2.6977690804707715E-10</c:v>
              </c:pt>
              <c:pt idx="49">
                <c:v>1.7326678327136272E-10</c:v>
              </c:pt>
              <c:pt idx="50">
                <c:v>1.0884122300812428E-10</c:v>
              </c:pt>
              <c:pt idx="51">
                <c:v>6.6871193449887439E-11</c:v>
              </c:pt>
              <c:pt idx="52">
                <c:v>4.0183919548445184E-11</c:v>
              </c:pt>
              <c:pt idx="53">
                <c:v>2.3617453978523996E-11</c:v>
              </c:pt>
              <c:pt idx="54">
                <c:v>1.3576299819962724E-11</c:v>
              </c:pt>
              <c:pt idx="55">
                <c:v>7.6330362275561539E-12</c:v>
              </c:pt>
            </c:numLit>
          </c:val>
          <c:extLst>
            <c:ext xmlns:c16="http://schemas.microsoft.com/office/drawing/2014/chart" uri="{C3380CC4-5D6E-409C-BE32-E72D297353CC}">
              <c16:uniqueId val="{00000000-4D94-42C4-9798-75AB1D22A167}"/>
            </c:ext>
          </c:extLst>
        </c:ser>
        <c:dLbls>
          <c:showLegendKey val="0"/>
          <c:showVal val="0"/>
          <c:showCatName val="0"/>
          <c:showSerName val="0"/>
          <c:showPercent val="0"/>
          <c:showBubbleSize val="0"/>
        </c:dLbls>
        <c:axId val="673225808"/>
        <c:axId val="673228104"/>
      </c:areaChart>
      <c:areaChart>
        <c:grouping val="standard"/>
        <c:varyColors val="0"/>
        <c:ser>
          <c:idx val="1"/>
          <c:order val="1"/>
          <c:tx>
            <c:v>ENPV &lt;= 0 (pravdepodobnosť 0.2926)</c:v>
          </c:tx>
          <c:spPr>
            <a:solidFill>
              <a:schemeClr val="accent2"/>
            </a:solidFill>
            <a:ln w="25400">
              <a:noFill/>
            </a:ln>
            <a:effectLst/>
          </c:spPr>
          <c:cat>
            <c:numLit>
              <c:formatCode>#\ ##0.0</c:formatCode>
              <c:ptCount val="56"/>
              <c:pt idx="0">
                <c:v>-4.25</c:v>
              </c:pt>
              <c:pt idx="1">
                <c:v>-4.1010721266163479</c:v>
              </c:pt>
              <c:pt idx="2">
                <c:v>-3.9521442532326962</c:v>
              </c:pt>
              <c:pt idx="3">
                <c:v>-3.8032163798490446</c:v>
              </c:pt>
              <c:pt idx="4">
                <c:v>-3.6542885064653929</c:v>
              </c:pt>
              <c:pt idx="5">
                <c:v>-3.5053606330817413</c:v>
              </c:pt>
              <c:pt idx="6">
                <c:v>-3.3564327596980892</c:v>
              </c:pt>
              <c:pt idx="7">
                <c:v>-3.2075048863144375</c:v>
              </c:pt>
              <c:pt idx="8">
                <c:v>-3.0585770129307859</c:v>
              </c:pt>
              <c:pt idx="9">
                <c:v>-2.9096491395471342</c:v>
              </c:pt>
              <c:pt idx="10">
                <c:v>-2.7607212661634826</c:v>
              </c:pt>
              <c:pt idx="11">
                <c:v>-2.6117933927798305</c:v>
              </c:pt>
              <c:pt idx="12">
                <c:v>-2.4628655193961788</c:v>
              </c:pt>
              <c:pt idx="13">
                <c:v>-2.3139376460125272</c:v>
              </c:pt>
              <c:pt idx="14">
                <c:v>-2.1650097726288755</c:v>
              </c:pt>
              <c:pt idx="15">
                <c:v>-2.0160818992452234</c:v>
              </c:pt>
              <c:pt idx="16">
                <c:v>-1.8671540258615718</c:v>
              </c:pt>
              <c:pt idx="17">
                <c:v>-1.7182261524779199</c:v>
              </c:pt>
              <c:pt idx="18">
                <c:v>-1.5692982790942682</c:v>
              </c:pt>
              <c:pt idx="19">
                <c:v>-1.4203704057106163</c:v>
              </c:pt>
              <c:pt idx="20">
                <c:v>-1.2714425323269645</c:v>
              </c:pt>
              <c:pt idx="21">
                <c:v>-1.1225146589433128</c:v>
              </c:pt>
              <c:pt idx="22">
                <c:v>-0.97358678555966094</c:v>
              </c:pt>
              <c:pt idx="23">
                <c:v>-0.82465891217600917</c:v>
              </c:pt>
              <c:pt idx="24">
                <c:v>-0.67573103879235741</c:v>
              </c:pt>
              <c:pt idx="25">
                <c:v>-0.52680316540870553</c:v>
              </c:pt>
              <c:pt idx="26">
                <c:v>-0.37787529202505377</c:v>
              </c:pt>
              <c:pt idx="27">
                <c:v>-0.22894741864140197</c:v>
              </c:pt>
              <c:pt idx="28">
                <c:v>-8.0019545257750194E-2</c:v>
              </c:pt>
              <c:pt idx="29">
                <c:v>6.89083281259016E-2</c:v>
              </c:pt>
              <c:pt idx="30">
                <c:v>0.21783620150955341</c:v>
              </c:pt>
              <c:pt idx="31">
                <c:v>0.36676407489320517</c:v>
              </c:pt>
              <c:pt idx="32">
                <c:v>0.51569194827685694</c:v>
              </c:pt>
              <c:pt idx="33">
                <c:v>0.66461982166050881</c:v>
              </c:pt>
              <c:pt idx="34">
                <c:v>0.81354769504416058</c:v>
              </c:pt>
              <c:pt idx="35">
                <c:v>0.96247556842781234</c:v>
              </c:pt>
              <c:pt idx="36">
                <c:v>1.1114034418114642</c:v>
              </c:pt>
              <c:pt idx="37">
                <c:v>1.2603313151951159</c:v>
              </c:pt>
              <c:pt idx="38">
                <c:v>1.4092591885787678</c:v>
              </c:pt>
              <c:pt idx="39">
                <c:v>1.5581870619624196</c:v>
              </c:pt>
              <c:pt idx="40">
                <c:v>1.7071149353460713</c:v>
              </c:pt>
              <c:pt idx="41">
                <c:v>1.8560428087297232</c:v>
              </c:pt>
              <c:pt idx="42">
                <c:v>2.0049706821133748</c:v>
              </c:pt>
              <c:pt idx="43">
                <c:v>2.1538985554970269</c:v>
              </c:pt>
              <c:pt idx="44">
                <c:v>2.3028264288806786</c:v>
              </c:pt>
              <c:pt idx="45">
                <c:v>2.4517543022643302</c:v>
              </c:pt>
              <c:pt idx="46">
                <c:v>2.6006821756479819</c:v>
              </c:pt>
              <c:pt idx="47">
                <c:v>2.749610049031634</c:v>
              </c:pt>
              <c:pt idx="48">
                <c:v>2.8985379224152856</c:v>
              </c:pt>
              <c:pt idx="49">
                <c:v>3.0474657957989377</c:v>
              </c:pt>
              <c:pt idx="50">
                <c:v>3.1963936691825894</c:v>
              </c:pt>
              <c:pt idx="51">
                <c:v>3.3453215425662415</c:v>
              </c:pt>
              <c:pt idx="52">
                <c:v>3.4942494159498931</c:v>
              </c:pt>
              <c:pt idx="53">
                <c:v>3.6431772893335448</c:v>
              </c:pt>
              <c:pt idx="54">
                <c:v>3.7921051627171969</c:v>
              </c:pt>
              <c:pt idx="55">
                <c:v>3.9410330361008485</c:v>
              </c:pt>
            </c:numLit>
          </c:cat>
          <c:val>
            <c:numLit>
              <c:formatCode>General</c:formatCode>
              <c:ptCount val="56"/>
              <c:pt idx="0">
                <c:v>2.1535257760148698E-12</c:v>
              </c:pt>
              <c:pt idx="1">
                <c:v>4.0106771842742877E-12</c:v>
              </c:pt>
              <c:pt idx="2">
                <c:v>7.3055497249775635E-12</c:v>
              </c:pt>
              <c:pt idx="3">
                <c:v>1.3015344126055446E-11</c:v>
              </c:pt>
              <c:pt idx="4">
                <c:v>2.2679108051637255E-11</c:v>
              </c:pt>
              <c:pt idx="5">
                <c:v>3.8651276854238056E-11</c:v>
              </c:pt>
              <c:pt idx="6">
                <c:v>6.4427203570715343E-11</c:v>
              </c:pt>
              <c:pt idx="7">
                <c:v>1.0503699242638134E-10</c:v>
              </c:pt>
              <c:pt idx="8">
                <c:v>1.6748766768362594E-10</c:v>
              </c:pt>
              <c:pt idx="9">
                <c:v>2.6121069368513708E-10</c:v>
              </c:pt>
              <c:pt idx="10">
                <c:v>3.9844339384624863E-10</c:v>
              </c:pt>
              <c:pt idx="11">
                <c:v>5.9444252377465925E-10</c:v>
              </c:pt>
              <c:pt idx="12">
                <c:v>8.6740249818754625E-10</c:v>
              </c:pt>
              <c:pt idx="13">
                <c:v>1.2379383822350896E-9</c:v>
              </c:pt>
              <c:pt idx="14">
                <c:v>1.7280048170594337E-9</c:v>
              </c:pt>
              <c:pt idx="15">
                <c:v>2.359165615067085E-9</c:v>
              </c:pt>
              <c:pt idx="16">
                <c:v>3.1502097492110322E-9</c:v>
              </c:pt>
              <c:pt idx="17">
                <c:v>4.1142253260712104E-9</c:v>
              </c:pt>
              <c:pt idx="18">
                <c:v>5.2553813539700737E-9</c:v>
              </c:pt>
              <c:pt idx="19">
                <c:v>6.5658046777257438E-9</c:v>
              </c:pt>
              <c:pt idx="20">
                <c:v>8.0230452702330401E-9</c:v>
              </c:pt>
              <c:pt idx="21">
                <c:v>9.588663699286255E-9</c:v>
              </c:pt>
              <c:pt idx="22">
                <c:v>1.1208422462974105E-8</c:v>
              </c:pt>
              <c:pt idx="23">
                <c:v>1.2814405337383766E-8</c:v>
              </c:pt>
              <c:pt idx="24">
                <c:v>1.4329135290603464E-8</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Lit>
          </c:val>
          <c:extLst>
            <c:ext xmlns:c16="http://schemas.microsoft.com/office/drawing/2014/chart" uri="{C3380CC4-5D6E-409C-BE32-E72D297353CC}">
              <c16:uniqueId val="{00000001-4D94-42C4-9798-75AB1D22A167}"/>
            </c:ext>
          </c:extLst>
        </c:ser>
        <c:dLbls>
          <c:showLegendKey val="0"/>
          <c:showVal val="0"/>
          <c:showCatName val="0"/>
          <c:showSerName val="0"/>
          <c:showPercent val="0"/>
          <c:showBubbleSize val="0"/>
        </c:dLbls>
        <c:axId val="443362528"/>
        <c:axId val="443360888"/>
      </c:areaChart>
      <c:catAx>
        <c:axId val="673225808"/>
        <c:scaling>
          <c:orientation val="minMax"/>
        </c:scaling>
        <c:delete val="0"/>
        <c:axPos val="b"/>
        <c:numFmt formatCode="#\ ##0.0"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673228104"/>
        <c:crosses val="autoZero"/>
        <c:auto val="1"/>
        <c:lblAlgn val="ctr"/>
        <c:lblOffset val="100"/>
        <c:noMultiLvlLbl val="0"/>
      </c:catAx>
      <c:valAx>
        <c:axId val="673228104"/>
        <c:scaling>
          <c:orientation val="minMax"/>
        </c:scaling>
        <c:delete val="1"/>
        <c:axPos val="l"/>
        <c:majorGridlines>
          <c:spPr>
            <a:ln w="9525" cap="flat" cmpd="sng" algn="ctr">
              <a:solidFill>
                <a:schemeClr val="tx1">
                  <a:lumMod val="15000"/>
                  <a:lumOff val="85000"/>
                </a:schemeClr>
              </a:solidFill>
              <a:round/>
            </a:ln>
            <a:effectLst/>
          </c:spPr>
        </c:majorGridlines>
        <c:numFmt formatCode="#\ ##0.0000000000000000000000" sourceLinked="1"/>
        <c:majorTickMark val="none"/>
        <c:minorTickMark val="none"/>
        <c:tickLblPos val="nextTo"/>
        <c:crossAx val="673225808"/>
        <c:crosses val="autoZero"/>
        <c:crossBetween val="midCat"/>
      </c:valAx>
      <c:valAx>
        <c:axId val="443360888"/>
        <c:scaling>
          <c:orientation val="minMax"/>
        </c:scaling>
        <c:delete val="1"/>
        <c:axPos val="r"/>
        <c:numFmt formatCode="General" sourceLinked="1"/>
        <c:majorTickMark val="out"/>
        <c:minorTickMark val="none"/>
        <c:tickLblPos val="nextTo"/>
        <c:crossAx val="443362528"/>
        <c:crosses val="max"/>
        <c:crossBetween val="midCat"/>
      </c:valAx>
      <c:catAx>
        <c:axId val="443362528"/>
        <c:scaling>
          <c:orientation val="minMax"/>
        </c:scaling>
        <c:delete val="0"/>
        <c:axPos val="t"/>
        <c:numFmt formatCode="#\ ##0.0"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443360888"/>
        <c:crosses val="max"/>
        <c:auto val="1"/>
        <c:lblAlgn val="ctr"/>
        <c:lblOffset val="100"/>
        <c:tickLblSkip val="255"/>
        <c:noMultiLvlLbl val="0"/>
      </c:cat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legend>
    <c:plotVisOnly val="1"/>
    <c:dispBlanksAs val="zero"/>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Citlivosť FNPV_C na zmeny premenných finančného modelu +</a:t>
            </a:r>
            <a:r>
              <a:rPr lang="cs-CZ" sz="1800" b="1" i="0" baseline="0">
                <a:effectLst/>
              </a:rPr>
              <a:t>5</a:t>
            </a:r>
            <a:r>
              <a:rPr lang="en-US" sz="1800" b="1" i="0" baseline="0">
                <a:effectLst/>
              </a:rPr>
              <a:t>%/-</a:t>
            </a:r>
            <a:r>
              <a:rPr lang="cs-CZ" sz="1800" b="1" i="0" baseline="0">
                <a:effectLst/>
              </a:rPr>
              <a:t>5</a:t>
            </a:r>
            <a:r>
              <a:rPr lang="en-US" sz="1800" b="1" i="0" baseline="0">
                <a:effectLst/>
              </a:rPr>
              <a:t>%</a:t>
            </a:r>
            <a:endParaRPr lang="en-US">
              <a:effectLst/>
            </a:endParaRPr>
          </a:p>
        </c:rich>
      </c:tx>
      <c:layout/>
      <c:overlay val="0"/>
      <c:spPr>
        <a:noFill/>
        <a:ln>
          <a:noFill/>
        </a:ln>
        <a:effectLst/>
      </c:spPr>
    </c:title>
    <c:autoTitleDeleted val="0"/>
    <c:plotArea>
      <c:layout>
        <c:manualLayout>
          <c:layoutTarget val="inner"/>
          <c:xMode val="edge"/>
          <c:yMode val="edge"/>
          <c:x val="0.23401785571076891"/>
          <c:y val="0.17837004667188058"/>
          <c:w val="0.72823178464742933"/>
          <c:h val="0.56149885543976052"/>
        </c:manualLayout>
      </c:layout>
      <c:barChart>
        <c:barDir val="bar"/>
        <c:grouping val="clustered"/>
        <c:varyColors val="0"/>
        <c:ser>
          <c:idx val="0"/>
          <c:order val="0"/>
          <c:tx>
            <c:v>Zmena -5%</c:v>
          </c:tx>
          <c:spPr>
            <a:solidFill>
              <a:srgbClr val="FC8174"/>
            </a:solidFill>
            <a:ln>
              <a:noFill/>
            </a:ln>
            <a:effectLst/>
          </c:spPr>
          <c:invertIfNegative val="0"/>
          <c:cat>
            <c:strRef>
              <c:extLst>
                <c:ext xmlns:c15="http://schemas.microsoft.com/office/drawing/2012/chart" uri="{02D57815-91ED-43cb-92C2-25804820EDAC}">
                  <c15:fullRef>
                    <c15:sqref>'09 CA_FNPV_C'!$G$10:$G$15</c15:sqref>
                  </c15:fullRef>
                </c:ext>
              </c:extLst>
              <c:f>'09 CA_FNPV_C'!$G$11:$G$15</c:f>
              <c:strCache>
                <c:ptCount val="5"/>
                <c:pt idx="0">
                  <c:v>Investičné výdavky - zmena v %</c:v>
                </c:pt>
                <c:pt idx="1">
                  <c:v>Prevádzkové výdavky – mzdové výdavky - zmena v %</c:v>
                </c:pt>
                <c:pt idx="2">
                  <c:v>Prevádzkové výdavky – bežné a pravidelné výdavky - zmena v %</c:v>
                </c:pt>
                <c:pt idx="3">
                  <c:v>Prevádzkové príjmy - zmena v %</c:v>
                </c:pt>
                <c:pt idx="4">
                  <c:v>Zostatková hodnota - zmena v %</c:v>
                </c:pt>
              </c:strCache>
            </c:strRef>
          </c:cat>
          <c:val>
            <c:numRef>
              <c:extLst>
                <c:ext xmlns:c15="http://schemas.microsoft.com/office/drawing/2012/chart" uri="{02D57815-91ED-43cb-92C2-25804820EDAC}">
                  <c15:fullRef>
                    <c15:sqref>'09 CA_FNPV_C'!$H$10:$H$15</c15:sqref>
                  </c15:fullRef>
                </c:ext>
              </c:extLst>
              <c:f>'09 CA_FNPV_C'!$H$11:$H$15</c:f>
              <c:numCache>
                <c:formatCode>0.00%</c:formatCode>
                <c:ptCount val="5"/>
                <c:pt idx="0">
                  <c:v>2.2105484718857422</c:v>
                </c:pt>
                <c:pt idx="1">
                  <c:v>-1.9857193526803081</c:v>
                </c:pt>
                <c:pt idx="2">
                  <c:v>-5.049840390426219E-2</c:v>
                </c:pt>
                <c:pt idx="3">
                  <c:v>-4.8849813083506888E-15</c:v>
                </c:pt>
                <c:pt idx="4">
                  <c:v>-0.1243307153011699</c:v>
                </c:pt>
              </c:numCache>
            </c:numRef>
          </c:val>
          <c:extLst>
            <c:ext xmlns:c16="http://schemas.microsoft.com/office/drawing/2014/chart" uri="{C3380CC4-5D6E-409C-BE32-E72D297353CC}">
              <c16:uniqueId val="{00000000-5E8B-4D8C-89D6-BCF3066F7570}"/>
            </c:ext>
          </c:extLst>
        </c:ser>
        <c:ser>
          <c:idx val="2"/>
          <c:order val="1"/>
          <c:tx>
            <c:v>Zmena +5%</c:v>
          </c:tx>
          <c:spPr>
            <a:solidFill>
              <a:srgbClr val="3399FF"/>
            </a:solidFill>
            <a:ln>
              <a:noFill/>
            </a:ln>
            <a:effectLst/>
          </c:spPr>
          <c:invertIfNegative val="0"/>
          <c:cat>
            <c:strRef>
              <c:extLst>
                <c:ext xmlns:c15="http://schemas.microsoft.com/office/drawing/2012/chart" uri="{02D57815-91ED-43cb-92C2-25804820EDAC}">
                  <c15:fullRef>
                    <c15:sqref>'09 CA_FNPV_C'!$G$10:$G$15</c15:sqref>
                  </c15:fullRef>
                </c:ext>
              </c:extLst>
              <c:f>'09 CA_FNPV_C'!$G$11:$G$15</c:f>
              <c:strCache>
                <c:ptCount val="5"/>
                <c:pt idx="0">
                  <c:v>Investičné výdavky - zmena v %</c:v>
                </c:pt>
                <c:pt idx="1">
                  <c:v>Prevádzkové výdavky – mzdové výdavky - zmena v %</c:v>
                </c:pt>
                <c:pt idx="2">
                  <c:v>Prevádzkové výdavky – bežné a pravidelné výdavky - zmena v %</c:v>
                </c:pt>
                <c:pt idx="3">
                  <c:v>Prevádzkové príjmy - zmena v %</c:v>
                </c:pt>
                <c:pt idx="4">
                  <c:v>Zostatková hodnota - zmena v %</c:v>
                </c:pt>
              </c:strCache>
            </c:strRef>
          </c:cat>
          <c:val>
            <c:numRef>
              <c:extLst>
                <c:ext xmlns:c15="http://schemas.microsoft.com/office/drawing/2012/chart" uri="{02D57815-91ED-43cb-92C2-25804820EDAC}">
                  <c15:fullRef>
                    <c15:sqref>'09 CA_FNPV_C'!$J$10:$J$15</c15:sqref>
                  </c15:fullRef>
                </c:ext>
              </c:extLst>
              <c:f>'09 CA_FNPV_C'!$J$11:$J$15</c:f>
              <c:numCache>
                <c:formatCode>0.00%</c:formatCode>
                <c:ptCount val="5"/>
                <c:pt idx="0">
                  <c:v>-2.2105484718857391</c:v>
                </c:pt>
                <c:pt idx="1">
                  <c:v>1.9857193526803227</c:v>
                </c:pt>
                <c:pt idx="2">
                  <c:v>5.0498403904269518E-2</c:v>
                </c:pt>
                <c:pt idx="3">
                  <c:v>-4.8849813083506888E-15</c:v>
                </c:pt>
                <c:pt idx="4">
                  <c:v>0.1243307153011608</c:v>
                </c:pt>
              </c:numCache>
            </c:numRef>
          </c:val>
          <c:extLst>
            <c:ext xmlns:c16="http://schemas.microsoft.com/office/drawing/2014/chart" uri="{C3380CC4-5D6E-409C-BE32-E72D297353CC}">
              <c16:uniqueId val="{00000001-5E8B-4D8C-89D6-BCF3066F7570}"/>
            </c:ext>
          </c:extLst>
        </c:ser>
        <c:dLbls>
          <c:showLegendKey val="0"/>
          <c:showVal val="0"/>
          <c:showCatName val="0"/>
          <c:showSerName val="0"/>
          <c:showPercent val="0"/>
          <c:showBubbleSize val="0"/>
        </c:dLbls>
        <c:gapWidth val="182"/>
        <c:axId val="134657920"/>
        <c:axId val="134659456"/>
      </c:barChart>
      <c:catAx>
        <c:axId val="134657920"/>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4659456"/>
        <c:crosses val="autoZero"/>
        <c:auto val="1"/>
        <c:lblAlgn val="ctr"/>
        <c:lblOffset val="100"/>
        <c:noMultiLvlLbl val="0"/>
      </c:catAx>
      <c:valAx>
        <c:axId val="13465945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465792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sk-SK"/>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Citlivosť FNPV_C na zmeny premenných finančného modelu +</a:t>
            </a:r>
            <a:r>
              <a:rPr lang="cs-CZ" sz="1800" b="1" i="0" baseline="0">
                <a:effectLst/>
              </a:rPr>
              <a:t>10</a:t>
            </a:r>
            <a:r>
              <a:rPr lang="en-US" sz="1800" b="1" i="0" baseline="0">
                <a:effectLst/>
              </a:rPr>
              <a:t>%/-</a:t>
            </a:r>
            <a:r>
              <a:rPr lang="cs-CZ" sz="1800" b="1" i="0" baseline="0">
                <a:effectLst/>
              </a:rPr>
              <a:t>10</a:t>
            </a:r>
            <a:r>
              <a:rPr lang="en-US" sz="1800" b="1" i="0" baseline="0">
                <a:effectLst/>
              </a:rPr>
              <a:t>%</a:t>
            </a:r>
            <a:endParaRPr lang="en-US">
              <a:effectLst/>
            </a:endParaRPr>
          </a:p>
        </c:rich>
      </c:tx>
      <c:layout/>
      <c:overlay val="0"/>
      <c:spPr>
        <a:noFill/>
        <a:ln>
          <a:noFill/>
        </a:ln>
        <a:effectLst/>
      </c:spPr>
    </c:title>
    <c:autoTitleDeleted val="0"/>
    <c:plotArea>
      <c:layout/>
      <c:barChart>
        <c:barDir val="bar"/>
        <c:grouping val="clustered"/>
        <c:varyColors val="0"/>
        <c:ser>
          <c:idx val="0"/>
          <c:order val="0"/>
          <c:tx>
            <c:v>Zmena -10%</c:v>
          </c:tx>
          <c:spPr>
            <a:solidFill>
              <a:srgbClr val="FC8174"/>
            </a:solidFill>
            <a:ln>
              <a:noFill/>
            </a:ln>
            <a:effectLst/>
          </c:spPr>
          <c:invertIfNegative val="0"/>
          <c:cat>
            <c:strRef>
              <c:extLst>
                <c:ext xmlns:c15="http://schemas.microsoft.com/office/drawing/2012/chart" uri="{02D57815-91ED-43cb-92C2-25804820EDAC}">
                  <c15:fullRef>
                    <c15:sqref>'09 CA_FNPV_C'!$L$10:$L$15</c15:sqref>
                  </c15:fullRef>
                </c:ext>
              </c:extLst>
              <c:f>'09 CA_FNPV_C'!$L$11:$L$15</c:f>
              <c:strCache>
                <c:ptCount val="5"/>
                <c:pt idx="0">
                  <c:v>Investičné výdavky - zmena v %</c:v>
                </c:pt>
                <c:pt idx="1">
                  <c:v>Prevádzkové výdavky – mzdové výdavky - zmena v %</c:v>
                </c:pt>
                <c:pt idx="2">
                  <c:v>Prevádzkové výdavky – bežné a pravidelné výdavky - zmena v %</c:v>
                </c:pt>
                <c:pt idx="3">
                  <c:v>Prevádzkové príjmy - zmena v %</c:v>
                </c:pt>
                <c:pt idx="4">
                  <c:v>Zostatková hodnota - zmena v %</c:v>
                </c:pt>
              </c:strCache>
            </c:strRef>
          </c:cat>
          <c:val>
            <c:numRef>
              <c:extLst>
                <c:ext xmlns:c15="http://schemas.microsoft.com/office/drawing/2012/chart" uri="{02D57815-91ED-43cb-92C2-25804820EDAC}">
                  <c15:fullRef>
                    <c15:sqref>'09 CA_FNPV_C'!$M$10:$M$15</c15:sqref>
                  </c15:fullRef>
                </c:ext>
              </c:extLst>
              <c:f>'09 CA_FNPV_C'!$M$11:$M$15</c:f>
              <c:numCache>
                <c:formatCode>0.00%</c:formatCode>
                <c:ptCount val="5"/>
                <c:pt idx="0">
                  <c:v>4.4210969437714756</c:v>
                </c:pt>
                <c:pt idx="1">
                  <c:v>-3.9714387053606339</c:v>
                </c:pt>
                <c:pt idx="2">
                  <c:v>-0.10099680780849085</c:v>
                </c:pt>
                <c:pt idx="3">
                  <c:v>-4.8849813083506888E-15</c:v>
                </c:pt>
                <c:pt idx="4">
                  <c:v>-0.2486614306023347</c:v>
                </c:pt>
              </c:numCache>
            </c:numRef>
          </c:val>
          <c:extLst>
            <c:ext xmlns:c16="http://schemas.microsoft.com/office/drawing/2014/chart" uri="{C3380CC4-5D6E-409C-BE32-E72D297353CC}">
              <c16:uniqueId val="{00000000-499D-4FF7-8900-2DA4ED7653D6}"/>
            </c:ext>
          </c:extLst>
        </c:ser>
        <c:ser>
          <c:idx val="2"/>
          <c:order val="1"/>
          <c:tx>
            <c:v>Zmena +10%</c:v>
          </c:tx>
          <c:spPr>
            <a:solidFill>
              <a:srgbClr val="3399FF"/>
            </a:solidFill>
            <a:ln>
              <a:noFill/>
            </a:ln>
            <a:effectLst/>
          </c:spPr>
          <c:invertIfNegative val="0"/>
          <c:cat>
            <c:strRef>
              <c:extLst>
                <c:ext xmlns:c15="http://schemas.microsoft.com/office/drawing/2012/chart" uri="{02D57815-91ED-43cb-92C2-25804820EDAC}">
                  <c15:fullRef>
                    <c15:sqref>'09 CA_FNPV_C'!$L$10:$L$15</c15:sqref>
                  </c15:fullRef>
                </c:ext>
              </c:extLst>
              <c:f>'09 CA_FNPV_C'!$L$11:$L$15</c:f>
              <c:strCache>
                <c:ptCount val="5"/>
                <c:pt idx="0">
                  <c:v>Investičné výdavky - zmena v %</c:v>
                </c:pt>
                <c:pt idx="1">
                  <c:v>Prevádzkové výdavky – mzdové výdavky - zmena v %</c:v>
                </c:pt>
                <c:pt idx="2">
                  <c:v>Prevádzkové výdavky – bežné a pravidelné výdavky - zmena v %</c:v>
                </c:pt>
                <c:pt idx="3">
                  <c:v>Prevádzkové príjmy - zmena v %</c:v>
                </c:pt>
                <c:pt idx="4">
                  <c:v>Zostatková hodnota - zmena v %</c:v>
                </c:pt>
              </c:strCache>
            </c:strRef>
          </c:cat>
          <c:val>
            <c:numRef>
              <c:extLst>
                <c:ext xmlns:c15="http://schemas.microsoft.com/office/drawing/2012/chart" uri="{02D57815-91ED-43cb-92C2-25804820EDAC}">
                  <c15:fullRef>
                    <c15:sqref>'09 CA_FNPV_C'!$O$10:$O$15</c15:sqref>
                  </c15:fullRef>
                </c:ext>
              </c:extLst>
              <c:f>'09 CA_FNPV_C'!$O$11:$O$15</c:f>
              <c:numCache>
                <c:formatCode>0.00%</c:formatCode>
                <c:ptCount val="5"/>
                <c:pt idx="0">
                  <c:v>-4.4210969437714729</c:v>
                </c:pt>
                <c:pt idx="1">
                  <c:v>3.971438705360649</c:v>
                </c:pt>
                <c:pt idx="2">
                  <c:v>0.10099680780849063</c:v>
                </c:pt>
                <c:pt idx="3">
                  <c:v>-4.8849813083506888E-15</c:v>
                </c:pt>
                <c:pt idx="4">
                  <c:v>0.24866143060232515</c:v>
                </c:pt>
              </c:numCache>
            </c:numRef>
          </c:val>
          <c:extLst>
            <c:ext xmlns:c16="http://schemas.microsoft.com/office/drawing/2014/chart" uri="{C3380CC4-5D6E-409C-BE32-E72D297353CC}">
              <c16:uniqueId val="{00000001-499D-4FF7-8900-2DA4ED7653D6}"/>
            </c:ext>
          </c:extLst>
        </c:ser>
        <c:dLbls>
          <c:showLegendKey val="0"/>
          <c:showVal val="0"/>
          <c:showCatName val="0"/>
          <c:showSerName val="0"/>
          <c:showPercent val="0"/>
          <c:showBubbleSize val="0"/>
        </c:dLbls>
        <c:gapWidth val="182"/>
        <c:axId val="134705920"/>
        <c:axId val="134707456"/>
      </c:barChart>
      <c:catAx>
        <c:axId val="134705920"/>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4707456"/>
        <c:crosses val="autoZero"/>
        <c:auto val="1"/>
        <c:lblAlgn val="ctr"/>
        <c:lblOffset val="100"/>
        <c:noMultiLvlLbl val="0"/>
      </c:catAx>
      <c:valAx>
        <c:axId val="13470745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470592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sk-SK"/>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333333"/>
                </a:solidFill>
                <a:latin typeface="Calibri"/>
                <a:ea typeface="Calibri"/>
                <a:cs typeface="Calibri"/>
              </a:defRPr>
            </a:pPr>
            <a:r>
              <a:rPr lang="en-US"/>
              <a:t>Zmena FNPV_C (+/- 1% zmena)</a:t>
            </a:r>
          </a:p>
        </c:rich>
      </c:tx>
      <c:layout/>
      <c:overlay val="0"/>
      <c:spPr>
        <a:noFill/>
        <a:ln w="25400">
          <a:noFill/>
        </a:ln>
      </c:spPr>
    </c:title>
    <c:autoTitleDeleted val="0"/>
    <c:plotArea>
      <c:layout>
        <c:manualLayout>
          <c:layoutTarget val="inner"/>
          <c:xMode val="edge"/>
          <c:yMode val="edge"/>
          <c:x val="7.7055958574478708E-2"/>
          <c:y val="0.1309680203176628"/>
          <c:w val="0.67086106115490196"/>
          <c:h val="0.84222786080618728"/>
        </c:manualLayout>
      </c:layout>
      <c:lineChart>
        <c:grouping val="standard"/>
        <c:varyColors val="0"/>
        <c:ser>
          <c:idx val="0"/>
          <c:order val="0"/>
          <c:tx>
            <c:strRef>
              <c:f>'09 CA_FNPV_C'!$B$11</c:f>
              <c:strCache>
                <c:ptCount val="1"/>
                <c:pt idx="0">
                  <c:v>Investičné výdavky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('09 CA_FNPV_C'!$C$11,'09 CA_FNPV_C'!$E$11)</c:f>
              <c:numCache>
                <c:formatCode>0.00%</c:formatCode>
                <c:ptCount val="2"/>
                <c:pt idx="0">
                  <c:v>0.44210969437714831</c:v>
                </c:pt>
                <c:pt idx="1">
                  <c:v>-0.44210969437715741</c:v>
                </c:pt>
              </c:numCache>
            </c:numRef>
          </c:val>
          <c:smooth val="0"/>
          <c:extLst>
            <c:ext xmlns:c16="http://schemas.microsoft.com/office/drawing/2014/chart" uri="{C3380CC4-5D6E-409C-BE32-E72D297353CC}">
              <c16:uniqueId val="{00000000-723A-4652-803B-BC3B3C96D66B}"/>
            </c:ext>
          </c:extLst>
        </c:ser>
        <c:ser>
          <c:idx val="1"/>
          <c:order val="1"/>
          <c:tx>
            <c:strRef>
              <c:f>'09 CA_FNPV_C'!$B$12</c:f>
              <c:strCache>
                <c:ptCount val="1"/>
                <c:pt idx="0">
                  <c:v>Prevádzkové výdavky – mzdové výdavky - zmena v %</c:v>
                </c:pt>
              </c:strCache>
            </c:strRef>
          </c:tx>
          <c:marker>
            <c:symbol val="none"/>
          </c:marker>
          <c:dLbls>
            <c:dLbl>
              <c:idx val="0"/>
              <c:layout>
                <c:manualLayout>
                  <c:x val="-7.3421930111436537E-2"/>
                  <c:y val="9.2325298351183208E-2"/>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723A-4652-803B-BC3B3C96D66B}"/>
                </c:ext>
              </c:extLst>
            </c:dLbl>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('09 CA_FNPV_C'!$C$12,'09 CA_FNPV_C'!$E$12)</c:f>
              <c:numCache>
                <c:formatCode>0.00%</c:formatCode>
                <c:ptCount val="2"/>
                <c:pt idx="0">
                  <c:v>-0.39714387053606859</c:v>
                </c:pt>
                <c:pt idx="1">
                  <c:v>0.39714387053606492</c:v>
                </c:pt>
              </c:numCache>
            </c:numRef>
          </c:val>
          <c:smooth val="0"/>
          <c:extLst>
            <c:ext xmlns:c16="http://schemas.microsoft.com/office/drawing/2014/chart" uri="{C3380CC4-5D6E-409C-BE32-E72D297353CC}">
              <c16:uniqueId val="{00000009-723A-4652-803B-BC3B3C96D66B}"/>
            </c:ext>
          </c:extLst>
        </c:ser>
        <c:ser>
          <c:idx val="2"/>
          <c:order val="2"/>
          <c:tx>
            <c:strRef>
              <c:f>'09 CA_FNPV_C'!$B$14</c:f>
              <c:strCache>
                <c:ptCount val="1"/>
                <c:pt idx="0">
                  <c:v>Prevádzkové príjmy - zmena v %</c:v>
                </c:pt>
              </c:strCache>
            </c:strRef>
          </c:tx>
          <c:marker>
            <c:symbol val="none"/>
          </c:marker>
          <c:dLbls>
            <c:dLbl>
              <c:idx val="0"/>
              <c:layout>
                <c:manualLayout>
                  <c:x val="-0.11517165507676318"/>
                  <c:y val="6.254294404434991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723A-4652-803B-BC3B3C96D66B}"/>
                </c:ext>
              </c:extLst>
            </c:dLbl>
            <c:dLbl>
              <c:idx val="1"/>
              <c:layout>
                <c:manualLayout>
                  <c:x val="4.4629016342245614E-2"/>
                  <c:y val="1.191294172273331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723A-4652-803B-BC3B3C96D66B}"/>
                </c:ext>
              </c:extLst>
            </c:dLbl>
            <c:spPr>
              <a:solidFill>
                <a:sysClr val="window" lastClr="FFFFFF"/>
              </a:solidFill>
              <a:ln>
                <a:solidFill>
                  <a:sysClr val="windowText" lastClr="000000">
                    <a:lumMod val="65000"/>
                    <a:lumOff val="35000"/>
                  </a:sysClr>
                </a:solidFill>
              </a:ln>
              <a:effectLst/>
            </c:sp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CA_FNPV_C'!$C$14,'09 CA_FNPV_C'!$E$14)</c:f>
              <c:numCache>
                <c:formatCode>0.00%</c:formatCode>
                <c:ptCount val="2"/>
                <c:pt idx="0">
                  <c:v>-4.8849813083506888E-15</c:v>
                </c:pt>
                <c:pt idx="1">
                  <c:v>-4.8849813083506888E-15</c:v>
                </c:pt>
              </c:numCache>
            </c:numRef>
          </c:val>
          <c:smooth val="0"/>
          <c:extLst>
            <c:ext xmlns:c16="http://schemas.microsoft.com/office/drawing/2014/chart" uri="{C3380CC4-5D6E-409C-BE32-E72D297353CC}">
              <c16:uniqueId val="{0000000A-723A-4652-803B-BC3B3C96D66B}"/>
            </c:ext>
          </c:extLst>
        </c:ser>
        <c:ser>
          <c:idx val="3"/>
          <c:order val="3"/>
          <c:tx>
            <c:strRef>
              <c:f>'09 CA_FNPV_C'!$B$15</c:f>
              <c:strCache>
                <c:ptCount val="1"/>
                <c:pt idx="0">
                  <c:v>Zostatková hodnota - zmena v %</c:v>
                </c:pt>
              </c:strCache>
            </c:strRef>
          </c:tx>
          <c:marker>
            <c:symbol val="none"/>
          </c:marker>
          <c:dLbls>
            <c:dLbl>
              <c:idx val="0"/>
              <c:layout>
                <c:manualLayout>
                  <c:x val="-8.0620158553734209E-2"/>
                  <c:y val="-0.10126000464323325"/>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723A-4652-803B-BC3B3C96D66B}"/>
                </c:ext>
              </c:extLst>
            </c:dLbl>
            <c:dLbl>
              <c:idx val="1"/>
              <c:layout>
                <c:manualLayout>
                  <c:x val="-5.7585827538381575E-2"/>
                  <c:y val="8.3390592059133212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723A-4652-803B-BC3B3C96D66B}"/>
                </c:ext>
              </c:extLst>
            </c:dLbl>
            <c:spPr>
              <a:solidFill>
                <a:sysClr val="window" lastClr="FFFFFF"/>
              </a:solidFill>
              <a:ln>
                <a:solidFill>
                  <a:sysClr val="windowText" lastClr="000000">
                    <a:lumMod val="65000"/>
                    <a:lumOff val="35000"/>
                  </a:sysClr>
                </a:solidFill>
              </a:ln>
              <a:effectLst/>
            </c:sp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CA_FNPV_C'!$C$15,'09 CA_FNPV_C'!$E$15)</c:f>
              <c:numCache>
                <c:formatCode>0.00%</c:formatCode>
                <c:ptCount val="2"/>
                <c:pt idx="0">
                  <c:v>-2.4866143060238155E-2</c:v>
                </c:pt>
                <c:pt idx="1">
                  <c:v>2.4866143060228163E-2</c:v>
                </c:pt>
              </c:numCache>
            </c:numRef>
          </c:val>
          <c:smooth val="0"/>
          <c:extLst>
            <c:ext xmlns:c16="http://schemas.microsoft.com/office/drawing/2014/chart" uri="{C3380CC4-5D6E-409C-BE32-E72D297353CC}">
              <c16:uniqueId val="{0000000B-723A-4652-803B-BC3B3C96D66B}"/>
            </c:ext>
          </c:extLst>
        </c:ser>
        <c:dLbls>
          <c:showLegendKey val="0"/>
          <c:showVal val="0"/>
          <c:showCatName val="0"/>
          <c:showSerName val="0"/>
          <c:showPercent val="0"/>
          <c:showBubbleSize val="0"/>
        </c:dLbls>
        <c:smooth val="0"/>
        <c:axId val="719747992"/>
        <c:axId val="1"/>
      </c:lineChart>
      <c:catAx>
        <c:axId val="719747992"/>
        <c:scaling>
          <c:orientation val="minMax"/>
        </c:scaling>
        <c:delete val="1"/>
        <c:axPos val="b"/>
        <c:numFmt formatCode="General" sourceLinked="1"/>
        <c:majorTickMark val="out"/>
        <c:minorTickMark val="none"/>
        <c:tickLblPos val="low"/>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out"/>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sk-SK"/>
          </a:p>
        </c:txPr>
        <c:crossAx val="719747992"/>
        <c:crosses val="autoZero"/>
        <c:crossBetween val="between"/>
      </c:valAx>
      <c:spPr>
        <a:noFill/>
        <a:ln w="25400">
          <a:noFill/>
        </a:ln>
      </c:spPr>
    </c:plotArea>
    <c:legend>
      <c:legendPos val="r"/>
      <c:layout/>
      <c:overlay val="0"/>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sk-SK"/>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333333"/>
                </a:solidFill>
                <a:latin typeface="Calibri"/>
                <a:ea typeface="Calibri"/>
                <a:cs typeface="Calibri"/>
              </a:defRPr>
            </a:pPr>
            <a:r>
              <a:rPr lang="en-US"/>
              <a:t>Zmena FNPV_C (+/- 5% zmena)</a:t>
            </a:r>
          </a:p>
        </c:rich>
      </c:tx>
      <c:layout/>
      <c:overlay val="0"/>
      <c:spPr>
        <a:noFill/>
        <a:ln w="25400">
          <a:noFill/>
        </a:ln>
      </c:spPr>
    </c:title>
    <c:autoTitleDeleted val="0"/>
    <c:plotArea>
      <c:layout/>
      <c:lineChart>
        <c:grouping val="standard"/>
        <c:varyColors val="0"/>
        <c:ser>
          <c:idx val="0"/>
          <c:order val="0"/>
          <c:tx>
            <c:strRef>
              <c:f>'09 CA_FNPV_C'!$G$11</c:f>
              <c:strCache>
                <c:ptCount val="1"/>
                <c:pt idx="0">
                  <c:v>Investičné výdavky - zmena v %</c:v>
                </c:pt>
              </c:strCache>
            </c:strRef>
          </c:tx>
          <c:marker>
            <c:symbol val="none"/>
          </c:marker>
          <c:dLbls>
            <c:numFmt formatCode="0.00%" sourceLinked="0"/>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('09 CA_FNPV_C'!$H$11,'09 CA_FNPV_C'!$J$11)</c:f>
              <c:numCache>
                <c:formatCode>0.00%</c:formatCode>
                <c:ptCount val="2"/>
                <c:pt idx="0">
                  <c:v>2.2105484718857422</c:v>
                </c:pt>
                <c:pt idx="1">
                  <c:v>-2.2105484718857391</c:v>
                </c:pt>
              </c:numCache>
            </c:numRef>
          </c:val>
          <c:smooth val="0"/>
          <c:extLst>
            <c:ext xmlns:c16="http://schemas.microsoft.com/office/drawing/2014/chart" uri="{C3380CC4-5D6E-409C-BE32-E72D297353CC}">
              <c16:uniqueId val="{00000000-D0CC-4DC6-B5C3-6A822D3D2787}"/>
            </c:ext>
          </c:extLst>
        </c:ser>
        <c:ser>
          <c:idx val="1"/>
          <c:order val="1"/>
          <c:tx>
            <c:strRef>
              <c:f>'09 CA_FNPV_C'!$G$12</c:f>
              <c:strCache>
                <c:ptCount val="1"/>
                <c:pt idx="0">
                  <c:v>Prevádzkové výdavky – mzdové výdavky - zmena v %</c:v>
                </c:pt>
              </c:strCache>
            </c:strRef>
          </c:tx>
          <c:marker>
            <c:symbol val="none"/>
          </c:marker>
          <c:dLbls>
            <c:dLbl>
              <c:idx val="0"/>
              <c:layout>
                <c:manualLayout>
                  <c:x val="-5.1238744190829015E-2"/>
                  <c:y val="9.551221834882782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C-D0CC-4DC6-B5C3-6A822D3D2787}"/>
                </c:ext>
              </c:extLst>
            </c:dLbl>
            <c:dLbl>
              <c:idx val="1"/>
              <c:layout>
                <c:manualLayout>
                  <c:x val="3.5135138873711308E-2"/>
                  <c:y val="-7.7603677408422611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D0CC-4DC6-B5C3-6A822D3D2787}"/>
                </c:ext>
              </c:extLst>
            </c:dLbl>
            <c:spPr>
              <a:solidFill>
                <a:sysClr val="window" lastClr="FFFFFF"/>
              </a:solidFill>
              <a:ln>
                <a:solidFill>
                  <a:sysClr val="windowText" lastClr="000000">
                    <a:lumMod val="65000"/>
                    <a:lumOff val="35000"/>
                  </a:sysClr>
                </a:solidFill>
              </a:ln>
              <a:effectLst/>
            </c:sp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CA_FNPV_C'!$H$12,'09 CA_FNPV_C'!$J$12)</c:f>
              <c:numCache>
                <c:formatCode>0.00%</c:formatCode>
                <c:ptCount val="2"/>
                <c:pt idx="0">
                  <c:v>-1.9857193526803081</c:v>
                </c:pt>
                <c:pt idx="1">
                  <c:v>1.9857193526803227</c:v>
                </c:pt>
              </c:numCache>
            </c:numRef>
          </c:val>
          <c:smooth val="0"/>
          <c:extLst>
            <c:ext xmlns:c16="http://schemas.microsoft.com/office/drawing/2014/chart" uri="{C3380CC4-5D6E-409C-BE32-E72D297353CC}">
              <c16:uniqueId val="{00000009-D0CC-4DC6-B5C3-6A822D3D2787}"/>
            </c:ext>
          </c:extLst>
        </c:ser>
        <c:ser>
          <c:idx val="2"/>
          <c:order val="2"/>
          <c:tx>
            <c:strRef>
              <c:f>'09 CA_FNPV_C'!$G$14</c:f>
              <c:strCache>
                <c:ptCount val="1"/>
                <c:pt idx="0">
                  <c:v>Prevádzkové príjmy - zmena v %</c:v>
                </c:pt>
              </c:strCache>
            </c:strRef>
          </c:tx>
          <c:marker>
            <c:symbol val="none"/>
          </c:marker>
          <c:dLbls>
            <c:dLbl>
              <c:idx val="0"/>
              <c:layout>
                <c:manualLayout>
                  <c:x val="-0.14346848373432119"/>
                  <c:y val="-0.16117686846364701"/>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D0CC-4DC6-B5C3-6A822D3D2787}"/>
                </c:ext>
              </c:extLst>
            </c:dLbl>
            <c:dLbl>
              <c:idx val="1"/>
              <c:layout>
                <c:manualLayout>
                  <c:x val="1.7567569436855654E-2"/>
                  <c:y val="-5.3725622821215652E-2"/>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D0CC-4DC6-B5C3-6A822D3D2787}"/>
                </c:ext>
              </c:extLst>
            </c:dLbl>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CA_FNPV_C'!$H$14,'09 CA_FNPV_C'!$J$14)</c:f>
              <c:numCache>
                <c:formatCode>0.00%</c:formatCode>
                <c:ptCount val="2"/>
                <c:pt idx="0">
                  <c:v>-4.8849813083506888E-15</c:v>
                </c:pt>
                <c:pt idx="1">
                  <c:v>-4.8849813083506888E-15</c:v>
                </c:pt>
              </c:numCache>
            </c:numRef>
          </c:val>
          <c:smooth val="0"/>
          <c:extLst>
            <c:ext xmlns:c16="http://schemas.microsoft.com/office/drawing/2014/chart" uri="{C3380CC4-5D6E-409C-BE32-E72D297353CC}">
              <c16:uniqueId val="{0000000A-D0CC-4DC6-B5C3-6A822D3D2787}"/>
            </c:ext>
          </c:extLst>
        </c:ser>
        <c:ser>
          <c:idx val="3"/>
          <c:order val="3"/>
          <c:tx>
            <c:strRef>
              <c:f>'09 CA_FNPV_C'!$G$15</c:f>
              <c:strCache>
                <c:ptCount val="1"/>
                <c:pt idx="0">
                  <c:v>Zostatková hodnota - zmena v %</c:v>
                </c:pt>
              </c:strCache>
            </c:strRef>
          </c:tx>
          <c:marker>
            <c:symbol val="none"/>
          </c:marker>
          <c:dLbls>
            <c:dLbl>
              <c:idx val="0"/>
              <c:layout>
                <c:manualLayout>
                  <c:x val="-0.14054055549484526"/>
                  <c:y val="6.864940693821999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D0CC-4DC6-B5C3-6A822D3D2787}"/>
                </c:ext>
              </c:extLst>
            </c:dLbl>
            <c:dLbl>
              <c:idx val="1"/>
              <c:layout>
                <c:manualLayout>
                  <c:x val="4.5382887711876999E-2"/>
                  <c:y val="6.864940693821999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D0CC-4DC6-B5C3-6A822D3D2787}"/>
                </c:ext>
              </c:extLst>
            </c:dLbl>
            <c:spPr>
              <a:solidFill>
                <a:sysClr val="window" lastClr="FFFFFF"/>
              </a:solidFill>
              <a:ln>
                <a:solidFill>
                  <a:sysClr val="windowText" lastClr="000000">
                    <a:lumMod val="65000"/>
                    <a:lumOff val="35000"/>
                  </a:sysClr>
                </a:solidFill>
              </a:ln>
              <a:effectLst/>
            </c:sp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CA_FNPV_C'!$H$15,'09 CA_FNPV_C'!$J$15)</c:f>
              <c:numCache>
                <c:formatCode>0.00%</c:formatCode>
                <c:ptCount val="2"/>
                <c:pt idx="0">
                  <c:v>-0.1243307153011699</c:v>
                </c:pt>
                <c:pt idx="1">
                  <c:v>0.1243307153011608</c:v>
                </c:pt>
              </c:numCache>
            </c:numRef>
          </c:val>
          <c:smooth val="0"/>
          <c:extLst>
            <c:ext xmlns:c16="http://schemas.microsoft.com/office/drawing/2014/chart" uri="{C3380CC4-5D6E-409C-BE32-E72D297353CC}">
              <c16:uniqueId val="{0000000B-D0CC-4DC6-B5C3-6A822D3D2787}"/>
            </c:ext>
          </c:extLst>
        </c:ser>
        <c:dLbls>
          <c:showLegendKey val="0"/>
          <c:showVal val="0"/>
          <c:showCatName val="0"/>
          <c:showSerName val="0"/>
          <c:showPercent val="0"/>
          <c:showBubbleSize val="0"/>
        </c:dLbls>
        <c:smooth val="0"/>
        <c:axId val="720972872"/>
        <c:axId val="1"/>
      </c:lineChart>
      <c:catAx>
        <c:axId val="720972872"/>
        <c:scaling>
          <c:orientation val="minMax"/>
        </c:scaling>
        <c:delete val="1"/>
        <c:axPos val="b"/>
        <c:numFmt formatCode="General" sourceLinked="1"/>
        <c:majorTickMark val="out"/>
        <c:minorTickMark val="none"/>
        <c:tickLblPos val="nextTo"/>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out"/>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sk-SK"/>
          </a:p>
        </c:txPr>
        <c:crossAx val="720972872"/>
        <c:crosses val="autoZero"/>
        <c:crossBetween val="between"/>
      </c:valAx>
      <c:spPr>
        <a:noFill/>
        <a:ln w="25400">
          <a:noFill/>
        </a:ln>
      </c:spPr>
    </c:plotArea>
    <c:legend>
      <c:legendPos val="r"/>
      <c:layout/>
      <c:overlay val="0"/>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sk-SK"/>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333333"/>
                </a:solidFill>
                <a:latin typeface="Calibri"/>
                <a:ea typeface="Calibri"/>
                <a:cs typeface="Calibri"/>
              </a:defRPr>
            </a:pPr>
            <a:r>
              <a:rPr lang="en-US"/>
              <a:t>Zmena FNPV_C (+/- 10% zmena)</a:t>
            </a:r>
          </a:p>
        </c:rich>
      </c:tx>
      <c:layout/>
      <c:overlay val="0"/>
      <c:spPr>
        <a:noFill/>
        <a:ln w="25400">
          <a:noFill/>
        </a:ln>
      </c:spPr>
    </c:title>
    <c:autoTitleDeleted val="0"/>
    <c:plotArea>
      <c:layout/>
      <c:lineChart>
        <c:grouping val="standard"/>
        <c:varyColors val="0"/>
        <c:ser>
          <c:idx val="0"/>
          <c:order val="0"/>
          <c:tx>
            <c:strRef>
              <c:f>'09 CA_FNPV_C'!$L$11</c:f>
              <c:strCache>
                <c:ptCount val="1"/>
                <c:pt idx="0">
                  <c:v>Investičné výdavky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('09 CA_FNPV_C'!$M$11,'09 CA_FNPV_C'!$O$11)</c:f>
              <c:numCache>
                <c:formatCode>0.00%</c:formatCode>
                <c:ptCount val="2"/>
                <c:pt idx="0">
                  <c:v>4.4210969437714756</c:v>
                </c:pt>
                <c:pt idx="1">
                  <c:v>-4.4210969437714729</c:v>
                </c:pt>
              </c:numCache>
            </c:numRef>
          </c:val>
          <c:smooth val="0"/>
          <c:extLst>
            <c:ext xmlns:c16="http://schemas.microsoft.com/office/drawing/2014/chart" uri="{C3380CC4-5D6E-409C-BE32-E72D297353CC}">
              <c16:uniqueId val="{00000000-04E0-4B44-BC08-4C9DBADCE77C}"/>
            </c:ext>
          </c:extLst>
        </c:ser>
        <c:ser>
          <c:idx val="1"/>
          <c:order val="1"/>
          <c:tx>
            <c:strRef>
              <c:f>'09 CA_FNPV_C'!$L$12</c:f>
              <c:strCache>
                <c:ptCount val="1"/>
                <c:pt idx="0">
                  <c:v>Prevádzkové výdavky – mzdové výdavky - zmena v %</c:v>
                </c:pt>
              </c:strCache>
            </c:strRef>
          </c:tx>
          <c:marker>
            <c:symbol val="none"/>
          </c:marker>
          <c:dLbls>
            <c:dLbl>
              <c:idx val="0"/>
              <c:layout>
                <c:manualLayout>
                  <c:x val="-6.622369416215805E-2"/>
                  <c:y val="0.11223022218491034"/>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C-04E0-4B44-BC08-4C9DBADCE77C}"/>
                </c:ext>
              </c:extLst>
            </c:dLbl>
            <c:dLbl>
              <c:idx val="1"/>
              <c:layout>
                <c:manualLayout>
                  <c:x val="-1.1517164202114443E-2"/>
                  <c:y val="-0.11846523452851652"/>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04E0-4B44-BC08-4C9DBADCE77C}"/>
                </c:ext>
              </c:extLst>
            </c:dLbl>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CA_FNPV_C'!$M$12,'09 CA_FNPV_C'!$O$12)</c:f>
              <c:numCache>
                <c:formatCode>0.00%</c:formatCode>
                <c:ptCount val="2"/>
                <c:pt idx="0">
                  <c:v>-3.9714387053606339</c:v>
                </c:pt>
                <c:pt idx="1">
                  <c:v>3.971438705360649</c:v>
                </c:pt>
              </c:numCache>
            </c:numRef>
          </c:val>
          <c:smooth val="0"/>
          <c:extLst>
            <c:ext xmlns:c16="http://schemas.microsoft.com/office/drawing/2014/chart" uri="{C3380CC4-5D6E-409C-BE32-E72D297353CC}">
              <c16:uniqueId val="{00000009-04E0-4B44-BC08-4C9DBADCE77C}"/>
            </c:ext>
          </c:extLst>
        </c:ser>
        <c:ser>
          <c:idx val="2"/>
          <c:order val="2"/>
          <c:tx>
            <c:strRef>
              <c:f>'09 CA_FNPV_C'!$L$14</c:f>
              <c:strCache>
                <c:ptCount val="1"/>
                <c:pt idx="0">
                  <c:v>Prevádzkové príjmy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('09 CA_FNPV_C'!$M$14,'09 CA_FNPV_C'!$O$14)</c:f>
              <c:numCache>
                <c:formatCode>0.00%</c:formatCode>
                <c:ptCount val="2"/>
                <c:pt idx="0">
                  <c:v>-4.8849813083506888E-15</c:v>
                </c:pt>
                <c:pt idx="1">
                  <c:v>-4.8849813083506888E-15</c:v>
                </c:pt>
              </c:numCache>
            </c:numRef>
          </c:val>
          <c:smooth val="0"/>
          <c:extLst>
            <c:ext xmlns:c16="http://schemas.microsoft.com/office/drawing/2014/chart" uri="{C3380CC4-5D6E-409C-BE32-E72D297353CC}">
              <c16:uniqueId val="{0000000A-04E0-4B44-BC08-4C9DBADCE77C}"/>
            </c:ext>
          </c:extLst>
        </c:ser>
        <c:ser>
          <c:idx val="3"/>
          <c:order val="3"/>
          <c:tx>
            <c:strRef>
              <c:f>'09 CA_FNPV_C'!$L$15</c:f>
              <c:strCache>
                <c:ptCount val="1"/>
                <c:pt idx="0">
                  <c:v>Zostatková hodnota - zmena v %</c:v>
                </c:pt>
              </c:strCache>
            </c:strRef>
          </c:tx>
          <c:marker>
            <c:symbol val="none"/>
          </c:marker>
          <c:dLbls>
            <c:dLbl>
              <c:idx val="0"/>
              <c:layout>
                <c:manualLayout>
                  <c:x val="-0.14108526147590192"/>
                  <c:y val="-0.11846523452851641"/>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04E0-4B44-BC08-4C9DBADCE77C}"/>
                </c:ext>
              </c:extLst>
            </c:dLbl>
            <c:dLbl>
              <c:idx val="1"/>
              <c:layout>
                <c:manualLayout>
                  <c:x val="3.7430783656871941E-2"/>
                  <c:y val="-8.4172666638682808E-2"/>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04E0-4B44-BC08-4C9DBADCE77C}"/>
                </c:ext>
              </c:extLst>
            </c:dLbl>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CA_FNPV_C'!$M$15,'09 CA_FNPV_C'!$O$15)</c:f>
              <c:numCache>
                <c:formatCode>0.00%</c:formatCode>
                <c:ptCount val="2"/>
                <c:pt idx="0">
                  <c:v>-0.2486614306023347</c:v>
                </c:pt>
                <c:pt idx="1">
                  <c:v>0.24866143060232515</c:v>
                </c:pt>
              </c:numCache>
            </c:numRef>
          </c:val>
          <c:smooth val="0"/>
          <c:extLst>
            <c:ext xmlns:c16="http://schemas.microsoft.com/office/drawing/2014/chart" uri="{C3380CC4-5D6E-409C-BE32-E72D297353CC}">
              <c16:uniqueId val="{0000000B-04E0-4B44-BC08-4C9DBADCE77C}"/>
            </c:ext>
          </c:extLst>
        </c:ser>
        <c:dLbls>
          <c:showLegendKey val="0"/>
          <c:showVal val="0"/>
          <c:showCatName val="0"/>
          <c:showSerName val="0"/>
          <c:showPercent val="0"/>
          <c:showBubbleSize val="0"/>
        </c:dLbls>
        <c:smooth val="0"/>
        <c:axId val="720973528"/>
        <c:axId val="1"/>
      </c:lineChart>
      <c:catAx>
        <c:axId val="720973528"/>
        <c:scaling>
          <c:orientation val="minMax"/>
        </c:scaling>
        <c:delete val="1"/>
        <c:axPos val="b"/>
        <c:numFmt formatCode="General" sourceLinked="1"/>
        <c:majorTickMark val="out"/>
        <c:minorTickMark val="none"/>
        <c:tickLblPos val="low"/>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out"/>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sk-SK"/>
          </a:p>
        </c:txPr>
        <c:crossAx val="720973528"/>
        <c:crosses val="autoZero"/>
        <c:crossBetween val="between"/>
      </c:valAx>
      <c:spPr>
        <a:noFill/>
        <a:ln w="25400">
          <a:noFill/>
        </a:ln>
      </c:spPr>
    </c:plotArea>
    <c:legend>
      <c:legendPos val="r"/>
      <c:layout/>
      <c:overlay val="0"/>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sk-SK"/>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Citlivosť </a:t>
            </a:r>
            <a:r>
              <a:rPr lang="cs-CZ" sz="1800" b="1" i="0" baseline="0">
                <a:effectLst/>
              </a:rPr>
              <a:t>ENPV</a:t>
            </a:r>
            <a:r>
              <a:rPr lang="en-US" sz="1800" b="1" i="0" baseline="0">
                <a:effectLst/>
              </a:rPr>
              <a:t> na zmeny premenných </a:t>
            </a:r>
            <a:r>
              <a:rPr lang="cs-CZ" sz="1800" b="1" i="0" baseline="0">
                <a:effectLst/>
              </a:rPr>
              <a:t>ekonomického</a:t>
            </a:r>
            <a:r>
              <a:rPr lang="en-US" sz="1800" b="1" i="0" baseline="0">
                <a:effectLst/>
              </a:rPr>
              <a:t> modelu +1%/-1%</a:t>
            </a:r>
            <a:endParaRPr lang="en-US">
              <a:effectLst/>
            </a:endParaRPr>
          </a:p>
        </c:rich>
      </c:tx>
      <c:layout/>
      <c:overlay val="0"/>
      <c:spPr>
        <a:noFill/>
        <a:ln>
          <a:noFill/>
        </a:ln>
        <a:effectLst/>
      </c:spPr>
    </c:title>
    <c:autoTitleDeleted val="0"/>
    <c:plotArea>
      <c:layout/>
      <c:barChart>
        <c:barDir val="bar"/>
        <c:grouping val="clustered"/>
        <c:varyColors val="0"/>
        <c:ser>
          <c:idx val="0"/>
          <c:order val="0"/>
          <c:tx>
            <c:v>Zmena -1%</c:v>
          </c:tx>
          <c:spPr>
            <a:solidFill>
              <a:srgbClr val="FC8174"/>
            </a:solidFill>
            <a:ln>
              <a:noFill/>
            </a:ln>
            <a:effectLst/>
          </c:spPr>
          <c:invertIfNegative val="0"/>
          <c:cat>
            <c:strRef>
              <c:extLst>
                <c:ext xmlns:c15="http://schemas.microsoft.com/office/drawing/2012/chart" uri="{02D57815-91ED-43cb-92C2-25804820EDAC}">
                  <c15:fullRef>
                    <c15:sqref>'10 CA_ENPV'!$B$11:$B$17</c15:sqref>
                  </c15:fullRef>
                </c:ext>
              </c:extLst>
              <c:f>'10 CA_ENPV'!$B$12:$B$17</c:f>
              <c:strCache>
                <c:ptCount val="6"/>
                <c:pt idx="0">
                  <c:v>Investičné náklady - zmena v %</c:v>
                </c:pt>
                <c:pt idx="1">
                  <c:v>Prevádzkové náklady - mzdové náklady - zmena v %</c:v>
                </c:pt>
                <c:pt idx="2">
                  <c:v>Prevádzkové náklady – bežné a pravidelné náklady - zmena v %</c:v>
                </c:pt>
                <c:pt idx="3">
                  <c:v>Úspora času - osobná  doprava - zmena v %</c:v>
                </c:pt>
                <c:pt idx="4">
                  <c:v>Počet cestujúcich - zmena v %</c:v>
                </c:pt>
                <c:pt idx="5">
                  <c:v>Zostatková hodnota - zmena v %</c:v>
                </c:pt>
              </c:strCache>
            </c:strRef>
          </c:cat>
          <c:val>
            <c:numRef>
              <c:extLst>
                <c:ext xmlns:c15="http://schemas.microsoft.com/office/drawing/2012/chart" uri="{02D57815-91ED-43cb-92C2-25804820EDAC}">
                  <c15:fullRef>
                    <c15:sqref>'10 CA_ENPV'!$C$11:$C$17</c15:sqref>
                  </c15:fullRef>
                </c:ext>
              </c:extLst>
              <c:f>'10 CA_ENPV'!$C$12:$C$17</c:f>
              <c:numCache>
                <c:formatCode>0.00%</c:formatCode>
                <c:ptCount val="6"/>
                <c:pt idx="0">
                  <c:v>2.7613814337880571E-2</c:v>
                </c:pt>
                <c:pt idx="1">
                  <c:v>-2.1555698260695699E-2</c:v>
                </c:pt>
                <c:pt idx="2">
                  <c:v>-7.7273805043376331E-4</c:v>
                </c:pt>
                <c:pt idx="3">
                  <c:v>-1.419474800550713E-2</c:v>
                </c:pt>
                <c:pt idx="4">
                  <c:v>-1.4194748005506908E-2</c:v>
                </c:pt>
                <c:pt idx="5">
                  <c:v>-1.0906300212274456E-3</c:v>
                </c:pt>
              </c:numCache>
            </c:numRef>
          </c:val>
          <c:extLst>
            <c:ext xmlns:c16="http://schemas.microsoft.com/office/drawing/2014/chart" uri="{C3380CC4-5D6E-409C-BE32-E72D297353CC}">
              <c16:uniqueId val="{00000000-46D3-41CD-A0F1-D44415F214E8}"/>
            </c:ext>
          </c:extLst>
        </c:ser>
        <c:ser>
          <c:idx val="2"/>
          <c:order val="1"/>
          <c:tx>
            <c:v>Zmena +1%</c:v>
          </c:tx>
          <c:spPr>
            <a:solidFill>
              <a:srgbClr val="3399FF"/>
            </a:solidFill>
            <a:ln>
              <a:noFill/>
            </a:ln>
            <a:effectLst/>
          </c:spPr>
          <c:invertIfNegative val="0"/>
          <c:cat>
            <c:strRef>
              <c:extLst>
                <c:ext xmlns:c15="http://schemas.microsoft.com/office/drawing/2012/chart" uri="{02D57815-91ED-43cb-92C2-25804820EDAC}">
                  <c15:fullRef>
                    <c15:sqref>'10 CA_ENPV'!$B$11:$B$17</c15:sqref>
                  </c15:fullRef>
                </c:ext>
              </c:extLst>
              <c:f>'10 CA_ENPV'!$B$12:$B$17</c:f>
              <c:strCache>
                <c:ptCount val="6"/>
                <c:pt idx="0">
                  <c:v>Investičné náklady - zmena v %</c:v>
                </c:pt>
                <c:pt idx="1">
                  <c:v>Prevádzkové náklady - mzdové náklady - zmena v %</c:v>
                </c:pt>
                <c:pt idx="2">
                  <c:v>Prevádzkové náklady – bežné a pravidelné náklady - zmena v %</c:v>
                </c:pt>
                <c:pt idx="3">
                  <c:v>Úspora času - osobná  doprava - zmena v %</c:v>
                </c:pt>
                <c:pt idx="4">
                  <c:v>Počet cestujúcich - zmena v %</c:v>
                </c:pt>
                <c:pt idx="5">
                  <c:v>Zostatková hodnota - zmena v %</c:v>
                </c:pt>
              </c:strCache>
            </c:strRef>
          </c:cat>
          <c:val>
            <c:numRef>
              <c:extLst>
                <c:ext xmlns:c15="http://schemas.microsoft.com/office/drawing/2012/chart" uri="{02D57815-91ED-43cb-92C2-25804820EDAC}">
                  <c15:fullRef>
                    <c15:sqref>'10 CA_ENPV'!$E$11:$E$17</c15:sqref>
                  </c15:fullRef>
                </c:ext>
              </c:extLst>
              <c:f>'10 CA_ENPV'!$E$12:$E$17</c:f>
              <c:numCache>
                <c:formatCode>0.00%</c:formatCode>
                <c:ptCount val="6"/>
                <c:pt idx="0">
                  <c:v>-2.7613814337880238E-2</c:v>
                </c:pt>
                <c:pt idx="1">
                  <c:v>2.1555698260707246E-2</c:v>
                </c:pt>
                <c:pt idx="2">
                  <c:v>7.7273805044519861E-4</c:v>
                </c:pt>
                <c:pt idx="3">
                  <c:v>1.4194748005517788E-2</c:v>
                </c:pt>
                <c:pt idx="4">
                  <c:v>1.419474800551801E-2</c:v>
                </c:pt>
                <c:pt idx="5">
                  <c:v>1.0906300212274456E-3</c:v>
                </c:pt>
              </c:numCache>
            </c:numRef>
          </c:val>
          <c:extLst>
            <c:ext xmlns:c16="http://schemas.microsoft.com/office/drawing/2014/chart" uri="{C3380CC4-5D6E-409C-BE32-E72D297353CC}">
              <c16:uniqueId val="{00000001-46D3-41CD-A0F1-D44415F214E8}"/>
            </c:ext>
          </c:extLst>
        </c:ser>
        <c:dLbls>
          <c:showLegendKey val="0"/>
          <c:showVal val="0"/>
          <c:showCatName val="0"/>
          <c:showSerName val="0"/>
          <c:showPercent val="0"/>
          <c:showBubbleSize val="0"/>
        </c:dLbls>
        <c:gapWidth val="182"/>
        <c:axId val="134963200"/>
        <c:axId val="134964736"/>
      </c:barChart>
      <c:catAx>
        <c:axId val="134963200"/>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4964736"/>
        <c:crosses val="autoZero"/>
        <c:auto val="1"/>
        <c:lblAlgn val="ctr"/>
        <c:lblOffset val="100"/>
        <c:noMultiLvlLbl val="0"/>
      </c:catAx>
      <c:valAx>
        <c:axId val="134964736"/>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49632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sk-SK"/>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Citlivosť </a:t>
            </a:r>
            <a:r>
              <a:rPr lang="cs-CZ" sz="1800" b="1" i="0" baseline="0">
                <a:effectLst/>
              </a:rPr>
              <a:t>ENPV </a:t>
            </a:r>
            <a:r>
              <a:rPr lang="en-US" sz="1800" b="1" i="0" baseline="0">
                <a:effectLst/>
              </a:rPr>
              <a:t>na zmeny premenných </a:t>
            </a:r>
            <a:r>
              <a:rPr lang="cs-CZ" sz="1800" b="1" i="0" baseline="0">
                <a:effectLst/>
              </a:rPr>
              <a:t>ekonomického</a:t>
            </a:r>
            <a:r>
              <a:rPr lang="en-US" sz="1800" b="1" i="0" baseline="0">
                <a:effectLst/>
              </a:rPr>
              <a:t> modelu +</a:t>
            </a:r>
            <a:r>
              <a:rPr lang="cs-CZ" sz="1800" b="1" i="0" baseline="0">
                <a:effectLst/>
              </a:rPr>
              <a:t>5</a:t>
            </a:r>
            <a:r>
              <a:rPr lang="en-US" sz="1800" b="1" i="0" baseline="0">
                <a:effectLst/>
              </a:rPr>
              <a:t>%/-</a:t>
            </a:r>
            <a:r>
              <a:rPr lang="cs-CZ" sz="1800" b="1" i="0" baseline="0">
                <a:effectLst/>
              </a:rPr>
              <a:t>5</a:t>
            </a:r>
            <a:r>
              <a:rPr lang="en-US" sz="1800" b="1" i="0" baseline="0">
                <a:effectLst/>
              </a:rPr>
              <a:t>%</a:t>
            </a:r>
            <a:endParaRPr lang="en-US">
              <a:effectLst/>
            </a:endParaRPr>
          </a:p>
        </c:rich>
      </c:tx>
      <c:layout/>
      <c:overlay val="0"/>
      <c:spPr>
        <a:noFill/>
        <a:ln>
          <a:noFill/>
        </a:ln>
        <a:effectLst/>
      </c:spPr>
    </c:title>
    <c:autoTitleDeleted val="0"/>
    <c:plotArea>
      <c:layout>
        <c:manualLayout>
          <c:layoutTarget val="inner"/>
          <c:xMode val="edge"/>
          <c:yMode val="edge"/>
          <c:x val="0.23401785571076891"/>
          <c:y val="0.17837004667188058"/>
          <c:w val="0.72823178464742933"/>
          <c:h val="0.56149885543976052"/>
        </c:manualLayout>
      </c:layout>
      <c:barChart>
        <c:barDir val="bar"/>
        <c:grouping val="clustered"/>
        <c:varyColors val="0"/>
        <c:ser>
          <c:idx val="0"/>
          <c:order val="0"/>
          <c:tx>
            <c:v>Zmena -5%</c:v>
          </c:tx>
          <c:spPr>
            <a:solidFill>
              <a:srgbClr val="FC8174"/>
            </a:solidFill>
            <a:ln>
              <a:noFill/>
            </a:ln>
            <a:effectLst/>
          </c:spPr>
          <c:invertIfNegative val="0"/>
          <c:cat>
            <c:strRef>
              <c:extLst>
                <c:ext xmlns:c15="http://schemas.microsoft.com/office/drawing/2012/chart" uri="{02D57815-91ED-43cb-92C2-25804820EDAC}">
                  <c15:fullRef>
                    <c15:sqref>'10 CA_ENPV'!$G$11:$G$17</c15:sqref>
                  </c15:fullRef>
                </c:ext>
              </c:extLst>
              <c:f>'10 CA_ENPV'!$G$12:$G$17</c:f>
              <c:strCache>
                <c:ptCount val="6"/>
                <c:pt idx="0">
                  <c:v>Investičné náklady - zmena v %</c:v>
                </c:pt>
                <c:pt idx="1">
                  <c:v>Prevádzkové náklady - mzdové náklady - zmena v %</c:v>
                </c:pt>
                <c:pt idx="2">
                  <c:v>Prevádzkové náklady – bežné a pravidelné náklady - zmena v %</c:v>
                </c:pt>
                <c:pt idx="3">
                  <c:v>Úspora času - osobná  doprava - zmena v %</c:v>
                </c:pt>
                <c:pt idx="4">
                  <c:v>Počet cestujúcich - zmena v %</c:v>
                </c:pt>
                <c:pt idx="5">
                  <c:v>Zostatková hodnota - zmena v %</c:v>
                </c:pt>
              </c:strCache>
            </c:strRef>
          </c:cat>
          <c:val>
            <c:numRef>
              <c:extLst>
                <c:ext xmlns:c15="http://schemas.microsoft.com/office/drawing/2012/chart" uri="{02D57815-91ED-43cb-92C2-25804820EDAC}">
                  <c15:fullRef>
                    <c15:sqref>'10 CA_ENPV'!$H$11:$H$17</c15:sqref>
                  </c15:fullRef>
                </c:ext>
              </c:extLst>
              <c:f>'10 CA_ENPV'!$H$12:$H$17</c:f>
              <c:numCache>
                <c:formatCode>0.00%</c:formatCode>
                <c:ptCount val="6"/>
                <c:pt idx="0">
                  <c:v>0.1380690716894013</c:v>
                </c:pt>
                <c:pt idx="1">
                  <c:v>-0.10777849130349904</c:v>
                </c:pt>
                <c:pt idx="2">
                  <c:v>-3.8636902521925753E-3</c:v>
                </c:pt>
                <c:pt idx="3">
                  <c:v>-7.0973740027555965E-2</c:v>
                </c:pt>
                <c:pt idx="4">
                  <c:v>-7.0973740027555965E-2</c:v>
                </c:pt>
                <c:pt idx="5">
                  <c:v>-5.4531501061374499E-3</c:v>
                </c:pt>
              </c:numCache>
            </c:numRef>
          </c:val>
          <c:extLst>
            <c:ext xmlns:c16="http://schemas.microsoft.com/office/drawing/2014/chart" uri="{C3380CC4-5D6E-409C-BE32-E72D297353CC}">
              <c16:uniqueId val="{00000000-BE03-4E0D-9955-A451A96588A0}"/>
            </c:ext>
          </c:extLst>
        </c:ser>
        <c:ser>
          <c:idx val="2"/>
          <c:order val="1"/>
          <c:tx>
            <c:v>Zmena +5%</c:v>
          </c:tx>
          <c:spPr>
            <a:solidFill>
              <a:srgbClr val="3399FF"/>
            </a:solidFill>
            <a:ln>
              <a:noFill/>
            </a:ln>
            <a:effectLst/>
          </c:spPr>
          <c:invertIfNegative val="0"/>
          <c:cat>
            <c:strRef>
              <c:extLst>
                <c:ext xmlns:c15="http://schemas.microsoft.com/office/drawing/2012/chart" uri="{02D57815-91ED-43cb-92C2-25804820EDAC}">
                  <c15:fullRef>
                    <c15:sqref>'10 CA_ENPV'!$G$11:$G$17</c15:sqref>
                  </c15:fullRef>
                </c:ext>
              </c:extLst>
              <c:f>'10 CA_ENPV'!$G$12:$G$17</c:f>
              <c:strCache>
                <c:ptCount val="6"/>
                <c:pt idx="0">
                  <c:v>Investičné náklady - zmena v %</c:v>
                </c:pt>
                <c:pt idx="1">
                  <c:v>Prevádzkové náklady - mzdové náklady - zmena v %</c:v>
                </c:pt>
                <c:pt idx="2">
                  <c:v>Prevádzkové náklady – bežné a pravidelné náklady - zmena v %</c:v>
                </c:pt>
                <c:pt idx="3">
                  <c:v>Úspora času - osobná  doprava - zmena v %</c:v>
                </c:pt>
                <c:pt idx="4">
                  <c:v>Počet cestujúcich - zmena v %</c:v>
                </c:pt>
                <c:pt idx="5">
                  <c:v>Zostatková hodnota - zmena v %</c:v>
                </c:pt>
              </c:strCache>
            </c:strRef>
          </c:cat>
          <c:val>
            <c:numRef>
              <c:extLst>
                <c:ext xmlns:c15="http://schemas.microsoft.com/office/drawing/2012/chart" uri="{02D57815-91ED-43cb-92C2-25804820EDAC}">
                  <c15:fullRef>
                    <c15:sqref>'10 CA_ENPV'!$J$11:$J$17</c15:sqref>
                  </c15:fullRef>
                </c:ext>
              </c:extLst>
              <c:f>'10 CA_ENPV'!$J$12:$J$17</c:f>
              <c:numCache>
                <c:formatCode>0.00%</c:formatCode>
                <c:ptCount val="6"/>
                <c:pt idx="0">
                  <c:v>-0.1380690716894013</c:v>
                </c:pt>
                <c:pt idx="1">
                  <c:v>0.10777849130351069</c:v>
                </c:pt>
                <c:pt idx="2">
                  <c:v>3.8636902522037886E-3</c:v>
                </c:pt>
                <c:pt idx="3">
                  <c:v>7.0973740027567844E-2</c:v>
                </c:pt>
                <c:pt idx="4">
                  <c:v>7.0973740027568066E-2</c:v>
                </c:pt>
                <c:pt idx="5">
                  <c:v>5.4531501061374499E-3</c:v>
                </c:pt>
              </c:numCache>
            </c:numRef>
          </c:val>
          <c:extLst>
            <c:ext xmlns:c16="http://schemas.microsoft.com/office/drawing/2014/chart" uri="{C3380CC4-5D6E-409C-BE32-E72D297353CC}">
              <c16:uniqueId val="{00000001-BE03-4E0D-9955-A451A96588A0}"/>
            </c:ext>
          </c:extLst>
        </c:ser>
        <c:dLbls>
          <c:showLegendKey val="0"/>
          <c:showVal val="0"/>
          <c:showCatName val="0"/>
          <c:showSerName val="0"/>
          <c:showPercent val="0"/>
          <c:showBubbleSize val="0"/>
        </c:dLbls>
        <c:gapWidth val="182"/>
        <c:axId val="135027328"/>
        <c:axId val="135033216"/>
      </c:barChart>
      <c:catAx>
        <c:axId val="135027328"/>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033216"/>
        <c:crosses val="autoZero"/>
        <c:auto val="1"/>
        <c:lblAlgn val="ctr"/>
        <c:lblOffset val="100"/>
        <c:noMultiLvlLbl val="0"/>
      </c:catAx>
      <c:valAx>
        <c:axId val="13503321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02732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sk-SK"/>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Citlivosť </a:t>
            </a:r>
            <a:r>
              <a:rPr lang="cs-CZ" sz="1800" b="1" i="0" baseline="0">
                <a:effectLst/>
              </a:rPr>
              <a:t>ENPV</a:t>
            </a:r>
            <a:r>
              <a:rPr lang="en-US" sz="1800" b="1" i="0" baseline="0">
                <a:effectLst/>
              </a:rPr>
              <a:t> na zmeny premenných </a:t>
            </a:r>
            <a:r>
              <a:rPr lang="cs-CZ" sz="1800" b="1" i="0" baseline="0">
                <a:effectLst/>
              </a:rPr>
              <a:t>ekonomického</a:t>
            </a:r>
            <a:r>
              <a:rPr lang="en-US" sz="1800" b="1" i="0" baseline="0">
                <a:effectLst/>
              </a:rPr>
              <a:t> modelu +</a:t>
            </a:r>
            <a:r>
              <a:rPr lang="cs-CZ" sz="1800" b="1" i="0" baseline="0">
                <a:effectLst/>
              </a:rPr>
              <a:t>10</a:t>
            </a:r>
            <a:r>
              <a:rPr lang="en-US" sz="1800" b="1" i="0" baseline="0">
                <a:effectLst/>
              </a:rPr>
              <a:t>%/-</a:t>
            </a:r>
            <a:r>
              <a:rPr lang="cs-CZ" sz="1800" b="1" i="0" baseline="0">
                <a:effectLst/>
              </a:rPr>
              <a:t>10</a:t>
            </a:r>
            <a:r>
              <a:rPr lang="en-US" sz="1800" b="1" i="0" baseline="0">
                <a:effectLst/>
              </a:rPr>
              <a:t>%</a:t>
            </a:r>
            <a:endParaRPr lang="en-US">
              <a:effectLst/>
            </a:endParaRPr>
          </a:p>
        </c:rich>
      </c:tx>
      <c:layout/>
      <c:overlay val="0"/>
      <c:spPr>
        <a:noFill/>
        <a:ln>
          <a:noFill/>
        </a:ln>
        <a:effectLst/>
      </c:spPr>
    </c:title>
    <c:autoTitleDeleted val="0"/>
    <c:plotArea>
      <c:layout/>
      <c:barChart>
        <c:barDir val="bar"/>
        <c:grouping val="clustered"/>
        <c:varyColors val="0"/>
        <c:ser>
          <c:idx val="0"/>
          <c:order val="0"/>
          <c:tx>
            <c:v>Zmena -10%</c:v>
          </c:tx>
          <c:spPr>
            <a:solidFill>
              <a:srgbClr val="FC8174"/>
            </a:solidFill>
            <a:ln>
              <a:noFill/>
            </a:ln>
            <a:effectLst/>
          </c:spPr>
          <c:invertIfNegative val="0"/>
          <c:cat>
            <c:strRef>
              <c:extLst>
                <c:ext xmlns:c15="http://schemas.microsoft.com/office/drawing/2012/chart" uri="{02D57815-91ED-43cb-92C2-25804820EDAC}">
                  <c15:fullRef>
                    <c15:sqref>'10 CA_ENPV'!$L$11:$L$17</c15:sqref>
                  </c15:fullRef>
                </c:ext>
              </c:extLst>
              <c:f>'10 CA_ENPV'!$L$12:$L$17</c:f>
              <c:strCache>
                <c:ptCount val="6"/>
                <c:pt idx="0">
                  <c:v>Investičné náklady - zmena v %</c:v>
                </c:pt>
                <c:pt idx="1">
                  <c:v>Prevádzkové náklady - mzdové náklady - zmena v %</c:v>
                </c:pt>
                <c:pt idx="2">
                  <c:v>Prevádzkové náklady – bežné a pravidelné náklady - zmena v %</c:v>
                </c:pt>
                <c:pt idx="3">
                  <c:v>Úspora času - osobná  doprava - zmena v %</c:v>
                </c:pt>
                <c:pt idx="4">
                  <c:v>Počet cestujúcich - zmena v %</c:v>
                </c:pt>
                <c:pt idx="5">
                  <c:v>Zostatková hodnota - zmena v %</c:v>
                </c:pt>
              </c:strCache>
            </c:strRef>
          </c:cat>
          <c:val>
            <c:numRef>
              <c:extLst>
                <c:ext xmlns:c15="http://schemas.microsoft.com/office/drawing/2012/chart" uri="{02D57815-91ED-43cb-92C2-25804820EDAC}">
                  <c15:fullRef>
                    <c15:sqref>'10 CA_ENPV'!$M$11:$M$17</c15:sqref>
                  </c15:fullRef>
                </c:ext>
              </c:extLst>
              <c:f>'10 CA_ENPV'!$M$12:$M$17</c:f>
              <c:numCache>
                <c:formatCode>0.00%</c:formatCode>
                <c:ptCount val="6"/>
                <c:pt idx="0">
                  <c:v>0.27613814337880194</c:v>
                </c:pt>
                <c:pt idx="1">
                  <c:v>-0.21555698260700273</c:v>
                </c:pt>
                <c:pt idx="2">
                  <c:v>-7.7273805043881483E-3</c:v>
                </c:pt>
                <c:pt idx="3">
                  <c:v>-0.14194748005511848</c:v>
                </c:pt>
                <c:pt idx="4">
                  <c:v>-0.14194748005511937</c:v>
                </c:pt>
                <c:pt idx="5">
                  <c:v>-1.09063002122749E-2</c:v>
                </c:pt>
              </c:numCache>
            </c:numRef>
          </c:val>
          <c:extLst>
            <c:ext xmlns:c16="http://schemas.microsoft.com/office/drawing/2014/chart" uri="{C3380CC4-5D6E-409C-BE32-E72D297353CC}">
              <c16:uniqueId val="{00000000-D44D-42EA-AE26-DA3F72F7B96D}"/>
            </c:ext>
          </c:extLst>
        </c:ser>
        <c:ser>
          <c:idx val="2"/>
          <c:order val="1"/>
          <c:tx>
            <c:v>Zmena +10%</c:v>
          </c:tx>
          <c:spPr>
            <a:solidFill>
              <a:srgbClr val="3399FF"/>
            </a:solidFill>
            <a:ln>
              <a:noFill/>
            </a:ln>
            <a:effectLst/>
          </c:spPr>
          <c:invertIfNegative val="0"/>
          <c:cat>
            <c:strRef>
              <c:extLst>
                <c:ext xmlns:c15="http://schemas.microsoft.com/office/drawing/2012/chart" uri="{02D57815-91ED-43cb-92C2-25804820EDAC}">
                  <c15:fullRef>
                    <c15:sqref>'10 CA_ENPV'!$L$11:$L$17</c15:sqref>
                  </c15:fullRef>
                </c:ext>
              </c:extLst>
              <c:f>'10 CA_ENPV'!$L$12:$L$17</c:f>
              <c:strCache>
                <c:ptCount val="6"/>
                <c:pt idx="0">
                  <c:v>Investičné náklady - zmena v %</c:v>
                </c:pt>
                <c:pt idx="1">
                  <c:v>Prevádzkové náklady - mzdové náklady - zmena v %</c:v>
                </c:pt>
                <c:pt idx="2">
                  <c:v>Prevádzkové náklady – bežné a pravidelné náklady - zmena v %</c:v>
                </c:pt>
                <c:pt idx="3">
                  <c:v>Úspora času - osobná  doprava - zmena v %</c:v>
                </c:pt>
                <c:pt idx="4">
                  <c:v>Počet cestujúcich - zmena v %</c:v>
                </c:pt>
                <c:pt idx="5">
                  <c:v>Zostatková hodnota - zmena v %</c:v>
                </c:pt>
              </c:strCache>
            </c:strRef>
          </c:cat>
          <c:val>
            <c:numRef>
              <c:extLst>
                <c:ext xmlns:c15="http://schemas.microsoft.com/office/drawing/2012/chart" uri="{02D57815-91ED-43cb-92C2-25804820EDAC}">
                  <c15:fullRef>
                    <c15:sqref>'10 CA_ENPV'!$O$11:$O$17</c15:sqref>
                  </c15:fullRef>
                </c:ext>
              </c:extLst>
              <c:f>'10 CA_ENPV'!$O$12:$O$17</c:f>
              <c:numCache>
                <c:formatCode>0.00%</c:formatCode>
                <c:ptCount val="6"/>
                <c:pt idx="0">
                  <c:v>-0.27613814337880283</c:v>
                </c:pt>
                <c:pt idx="1">
                  <c:v>0.21555698260701606</c:v>
                </c:pt>
                <c:pt idx="2">
                  <c:v>7.7273805043991395E-3</c:v>
                </c:pt>
                <c:pt idx="3">
                  <c:v>0.1419474800551308</c:v>
                </c:pt>
                <c:pt idx="4">
                  <c:v>0.1419474800551308</c:v>
                </c:pt>
                <c:pt idx="5">
                  <c:v>1.09063002122749E-2</c:v>
                </c:pt>
              </c:numCache>
            </c:numRef>
          </c:val>
          <c:extLst>
            <c:ext xmlns:c16="http://schemas.microsoft.com/office/drawing/2014/chart" uri="{C3380CC4-5D6E-409C-BE32-E72D297353CC}">
              <c16:uniqueId val="{00000001-D44D-42EA-AE26-DA3F72F7B96D}"/>
            </c:ext>
          </c:extLst>
        </c:ser>
        <c:dLbls>
          <c:showLegendKey val="0"/>
          <c:showVal val="0"/>
          <c:showCatName val="0"/>
          <c:showSerName val="0"/>
          <c:showPercent val="0"/>
          <c:showBubbleSize val="0"/>
        </c:dLbls>
        <c:gapWidth val="182"/>
        <c:axId val="135091328"/>
        <c:axId val="135092864"/>
      </c:barChart>
      <c:catAx>
        <c:axId val="135091328"/>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092864"/>
        <c:crosses val="autoZero"/>
        <c:auto val="1"/>
        <c:lblAlgn val="ctr"/>
        <c:lblOffset val="100"/>
        <c:noMultiLvlLbl val="0"/>
      </c:catAx>
      <c:valAx>
        <c:axId val="13509286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09132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sk-SK"/>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000000000000011" l="0.70000000000000007" r="0.70000000000000007" t="0.75000000000000011" header="0.30000000000000004" footer="0.30000000000000004"/>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4.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17.xml"/><Relationship Id="rId6" Type="http://schemas.openxmlformats.org/officeDocument/2006/relationships/image" Target="../media/image4.png"/><Relationship Id="rId5" Type="http://schemas.openxmlformats.org/officeDocument/2006/relationships/image" Target="../media/image3.png"/><Relationship Id="rId4" Type="http://schemas.openxmlformats.org/officeDocument/2006/relationships/chart" Target="../charts/chart18.xml"/></Relationships>
</file>

<file path=xl/drawings/drawing1.xml><?xml version="1.0" encoding="utf-8"?>
<xdr:wsDr xmlns:xdr="http://schemas.openxmlformats.org/drawingml/2006/spreadsheetDrawing" xmlns:a="http://schemas.openxmlformats.org/drawingml/2006/main">
  <xdr:twoCellAnchor>
    <xdr:from>
      <xdr:col>0</xdr:col>
      <xdr:colOff>148828</xdr:colOff>
      <xdr:row>16</xdr:row>
      <xdr:rowOff>80962</xdr:rowOff>
    </xdr:from>
    <xdr:to>
      <xdr:col>5</xdr:col>
      <xdr:colOff>0</xdr:colOff>
      <xdr:row>43</xdr:row>
      <xdr:rowOff>11906</xdr:rowOff>
    </xdr:to>
    <xdr:graphicFrame macro="">
      <xdr:nvGraphicFramePr>
        <xdr:cNvPr id="2" name="Chart 1">
          <a:extLst>
            <a:ext uri="{FF2B5EF4-FFF2-40B4-BE49-F238E27FC236}">
              <a16:creationId xmlns:a16="http://schemas.microsoft.com/office/drawing/2014/main" id="{6905ECFA-5A7A-4733-8EFE-C3350D6912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23812</xdr:colOff>
      <xdr:row>16</xdr:row>
      <xdr:rowOff>95250</xdr:rowOff>
    </xdr:from>
    <xdr:to>
      <xdr:col>10</xdr:col>
      <xdr:colOff>7937</xdr:colOff>
      <xdr:row>43</xdr:row>
      <xdr:rowOff>26194</xdr:rowOff>
    </xdr:to>
    <xdr:graphicFrame macro="">
      <xdr:nvGraphicFramePr>
        <xdr:cNvPr id="3" name="Chart 2">
          <a:extLst>
            <a:ext uri="{FF2B5EF4-FFF2-40B4-BE49-F238E27FC236}">
              <a16:creationId xmlns:a16="http://schemas.microsoft.com/office/drawing/2014/main" id="{E3282BAB-9F74-4FB3-BCF3-127068682A4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11905</xdr:colOff>
      <xdr:row>16</xdr:row>
      <xdr:rowOff>107157</xdr:rowOff>
    </xdr:from>
    <xdr:to>
      <xdr:col>14</xdr:col>
      <xdr:colOff>1436077</xdr:colOff>
      <xdr:row>43</xdr:row>
      <xdr:rowOff>38101</xdr:rowOff>
    </xdr:to>
    <xdr:graphicFrame macro="">
      <xdr:nvGraphicFramePr>
        <xdr:cNvPr id="4" name="Chart 3">
          <a:extLst>
            <a:ext uri="{FF2B5EF4-FFF2-40B4-BE49-F238E27FC236}">
              <a16:creationId xmlns:a16="http://schemas.microsoft.com/office/drawing/2014/main" id="{EA37C93F-3ADE-4A06-A1DA-C210C3E5E4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44</xdr:row>
      <xdr:rowOff>58616</xdr:rowOff>
    </xdr:from>
    <xdr:to>
      <xdr:col>4</xdr:col>
      <xdr:colOff>1436076</xdr:colOff>
      <xdr:row>70</xdr:row>
      <xdr:rowOff>131886</xdr:rowOff>
    </xdr:to>
    <xdr:graphicFrame macro="">
      <xdr:nvGraphicFramePr>
        <xdr:cNvPr id="5" name="Chart 13">
          <a:extLst>
            <a:ext uri="{FF2B5EF4-FFF2-40B4-BE49-F238E27FC236}">
              <a16:creationId xmlns:a16="http://schemas.microsoft.com/office/drawing/2014/main" id="{FAEDDDE3-9225-4346-B844-1E3B745224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131885</xdr:colOff>
      <xdr:row>44</xdr:row>
      <xdr:rowOff>87923</xdr:rowOff>
    </xdr:from>
    <xdr:to>
      <xdr:col>9</xdr:col>
      <xdr:colOff>1421423</xdr:colOff>
      <xdr:row>70</xdr:row>
      <xdr:rowOff>151876</xdr:rowOff>
    </xdr:to>
    <xdr:graphicFrame macro="">
      <xdr:nvGraphicFramePr>
        <xdr:cNvPr id="6" name="Chart 12">
          <a:extLst>
            <a:ext uri="{FF2B5EF4-FFF2-40B4-BE49-F238E27FC236}">
              <a16:creationId xmlns:a16="http://schemas.microsoft.com/office/drawing/2014/main" id="{EF6F0FDA-E978-42C1-AE38-DC1EB8FB50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0</xdr:colOff>
      <xdr:row>45</xdr:row>
      <xdr:rowOff>0</xdr:rowOff>
    </xdr:from>
    <xdr:to>
      <xdr:col>14</xdr:col>
      <xdr:colOff>1436077</xdr:colOff>
      <xdr:row>70</xdr:row>
      <xdr:rowOff>43962</xdr:rowOff>
    </xdr:to>
    <xdr:graphicFrame macro="">
      <xdr:nvGraphicFramePr>
        <xdr:cNvPr id="7" name="Chart 6">
          <a:extLst>
            <a:ext uri="{FF2B5EF4-FFF2-40B4-BE49-F238E27FC236}">
              <a16:creationId xmlns:a16="http://schemas.microsoft.com/office/drawing/2014/main" id="{996ADE0C-19EF-46A7-AD93-E5312ABE1E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87868</xdr:colOff>
      <xdr:row>18</xdr:row>
      <xdr:rowOff>80963</xdr:rowOff>
    </xdr:from>
    <xdr:to>
      <xdr:col>5</xdr:col>
      <xdr:colOff>0</xdr:colOff>
      <xdr:row>45</xdr:row>
      <xdr:rowOff>11724</xdr:rowOff>
    </xdr:to>
    <xdr:graphicFrame macro="">
      <xdr:nvGraphicFramePr>
        <xdr:cNvPr id="2" name="Chart 1">
          <a:extLst>
            <a:ext uri="{FF2B5EF4-FFF2-40B4-BE49-F238E27FC236}">
              <a16:creationId xmlns:a16="http://schemas.microsoft.com/office/drawing/2014/main" id="{90BAAD13-9BAD-4E32-915B-93F50F1D85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23812</xdr:colOff>
      <xdr:row>18</xdr:row>
      <xdr:rowOff>95250</xdr:rowOff>
    </xdr:from>
    <xdr:to>
      <xdr:col>9</xdr:col>
      <xdr:colOff>1500187</xdr:colOff>
      <xdr:row>45</xdr:row>
      <xdr:rowOff>26194</xdr:rowOff>
    </xdr:to>
    <xdr:graphicFrame macro="">
      <xdr:nvGraphicFramePr>
        <xdr:cNvPr id="3" name="Chart 2">
          <a:extLst>
            <a:ext uri="{FF2B5EF4-FFF2-40B4-BE49-F238E27FC236}">
              <a16:creationId xmlns:a16="http://schemas.microsoft.com/office/drawing/2014/main" id="{1518D69F-8A0E-4C9D-8B79-7E814E3E20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11905</xdr:colOff>
      <xdr:row>18</xdr:row>
      <xdr:rowOff>107157</xdr:rowOff>
    </xdr:from>
    <xdr:to>
      <xdr:col>14</xdr:col>
      <xdr:colOff>1436077</xdr:colOff>
      <xdr:row>45</xdr:row>
      <xdr:rowOff>38101</xdr:rowOff>
    </xdr:to>
    <xdr:graphicFrame macro="">
      <xdr:nvGraphicFramePr>
        <xdr:cNvPr id="4" name="Chart 3">
          <a:extLst>
            <a:ext uri="{FF2B5EF4-FFF2-40B4-BE49-F238E27FC236}">
              <a16:creationId xmlns:a16="http://schemas.microsoft.com/office/drawing/2014/main" id="{DCDC114E-5ECD-442A-A190-4C2CC5ECF0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29310</xdr:colOff>
      <xdr:row>46</xdr:row>
      <xdr:rowOff>14654</xdr:rowOff>
    </xdr:from>
    <xdr:to>
      <xdr:col>5</xdr:col>
      <xdr:colOff>0</xdr:colOff>
      <xdr:row>74</xdr:row>
      <xdr:rowOff>131884</xdr:rowOff>
    </xdr:to>
    <xdr:graphicFrame macro="">
      <xdr:nvGraphicFramePr>
        <xdr:cNvPr id="5" name="Chart 4">
          <a:extLst>
            <a:ext uri="{FF2B5EF4-FFF2-40B4-BE49-F238E27FC236}">
              <a16:creationId xmlns:a16="http://schemas.microsoft.com/office/drawing/2014/main" id="{F1541DC3-91D4-4ADD-B311-06CDAFC8EF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0</xdr:colOff>
      <xdr:row>46</xdr:row>
      <xdr:rowOff>0</xdr:rowOff>
    </xdr:from>
    <xdr:to>
      <xdr:col>9</xdr:col>
      <xdr:colOff>1436078</xdr:colOff>
      <xdr:row>74</xdr:row>
      <xdr:rowOff>131885</xdr:rowOff>
    </xdr:to>
    <xdr:graphicFrame macro="">
      <xdr:nvGraphicFramePr>
        <xdr:cNvPr id="6" name="Chart 5">
          <a:extLst>
            <a:ext uri="{FF2B5EF4-FFF2-40B4-BE49-F238E27FC236}">
              <a16:creationId xmlns:a16="http://schemas.microsoft.com/office/drawing/2014/main" id="{AC7AAFCC-40D3-4220-B2F4-6D2CB649F4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0</xdr:colOff>
      <xdr:row>46</xdr:row>
      <xdr:rowOff>0</xdr:rowOff>
    </xdr:from>
    <xdr:to>
      <xdr:col>15</xdr:col>
      <xdr:colOff>0</xdr:colOff>
      <xdr:row>74</xdr:row>
      <xdr:rowOff>146539</xdr:rowOff>
    </xdr:to>
    <xdr:graphicFrame macro="">
      <xdr:nvGraphicFramePr>
        <xdr:cNvPr id="7" name="Chart 6">
          <a:extLst>
            <a:ext uri="{FF2B5EF4-FFF2-40B4-BE49-F238E27FC236}">
              <a16:creationId xmlns:a16="http://schemas.microsoft.com/office/drawing/2014/main" id="{EC9D713D-D024-4476-90BB-7A68E941B0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41275</xdr:colOff>
      <xdr:row>16</xdr:row>
      <xdr:rowOff>139700</xdr:rowOff>
    </xdr:from>
    <xdr:to>
      <xdr:col>5</xdr:col>
      <xdr:colOff>2295525</xdr:colOff>
      <xdr:row>34</xdr:row>
      <xdr:rowOff>79375</xdr:rowOff>
    </xdr:to>
    <xdr:graphicFrame macro="">
      <xdr:nvGraphicFramePr>
        <xdr:cNvPr id="2" name="Graf 5">
          <a:extLst>
            <a:ext uri="{FF2B5EF4-FFF2-40B4-BE49-F238E27FC236}">
              <a16:creationId xmlns:a16="http://schemas.microsoft.com/office/drawing/2014/main" id="{BC95305B-E340-430A-9E83-E9A51DC83F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44449</xdr:colOff>
      <xdr:row>16</xdr:row>
      <xdr:rowOff>139700</xdr:rowOff>
    </xdr:from>
    <xdr:to>
      <xdr:col>13</xdr:col>
      <xdr:colOff>228599</xdr:colOff>
      <xdr:row>34</xdr:row>
      <xdr:rowOff>76200</xdr:rowOff>
    </xdr:to>
    <xdr:graphicFrame macro="">
      <xdr:nvGraphicFramePr>
        <xdr:cNvPr id="3" name="Graf 6">
          <a:extLst>
            <a:ext uri="{FF2B5EF4-FFF2-40B4-BE49-F238E27FC236}">
              <a16:creationId xmlns:a16="http://schemas.microsoft.com/office/drawing/2014/main" id="{BF2885BC-36C2-4E1B-ABA7-49C67D250C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38099</xdr:colOff>
      <xdr:row>34</xdr:row>
      <xdr:rowOff>127000</xdr:rowOff>
    </xdr:from>
    <xdr:to>
      <xdr:col>5</xdr:col>
      <xdr:colOff>2285999</xdr:colOff>
      <xdr:row>52</xdr:row>
      <xdr:rowOff>66675</xdr:rowOff>
    </xdr:to>
    <xdr:graphicFrame macro="">
      <xdr:nvGraphicFramePr>
        <xdr:cNvPr id="4" name="Graf 7">
          <a:extLst>
            <a:ext uri="{FF2B5EF4-FFF2-40B4-BE49-F238E27FC236}">
              <a16:creationId xmlns:a16="http://schemas.microsoft.com/office/drawing/2014/main" id="{1D02887B-1223-46AD-8D37-01D28A14BF5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47625</xdr:colOff>
      <xdr:row>35</xdr:row>
      <xdr:rowOff>0</xdr:rowOff>
    </xdr:from>
    <xdr:to>
      <xdr:col>13</xdr:col>
      <xdr:colOff>228600</xdr:colOff>
      <xdr:row>52</xdr:row>
      <xdr:rowOff>57150</xdr:rowOff>
    </xdr:to>
    <xdr:graphicFrame macro="">
      <xdr:nvGraphicFramePr>
        <xdr:cNvPr id="5" name="Graf 9">
          <a:extLst>
            <a:ext uri="{FF2B5EF4-FFF2-40B4-BE49-F238E27FC236}">
              <a16:creationId xmlns:a16="http://schemas.microsoft.com/office/drawing/2014/main" id="{CAE43245-A6FF-4243-8B7C-FAB764B550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16</xdr:col>
      <xdr:colOff>95250</xdr:colOff>
      <xdr:row>54</xdr:row>
      <xdr:rowOff>149679</xdr:rowOff>
    </xdr:from>
    <xdr:to>
      <xdr:col>16</xdr:col>
      <xdr:colOff>449036</xdr:colOff>
      <xdr:row>56</xdr:row>
      <xdr:rowOff>81643</xdr:rowOff>
    </xdr:to>
    <xdr:sp macro="" textlink="">
      <xdr:nvSpPr>
        <xdr:cNvPr id="2" name="TextBox 1">
          <a:extLst>
            <a:ext uri="{FF2B5EF4-FFF2-40B4-BE49-F238E27FC236}">
              <a16:creationId xmlns:a16="http://schemas.microsoft.com/office/drawing/2014/main" id="{3C2E1AA3-27CE-497E-BF31-4CF905455F7A}"/>
            </a:ext>
          </a:extLst>
        </xdr:cNvPr>
        <xdr:cNvSpPr txBox="1"/>
      </xdr:nvSpPr>
      <xdr:spPr>
        <a:xfrm>
          <a:off x="12372975" y="9331779"/>
          <a:ext cx="353786" cy="25581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sk-SK" sz="1100"/>
        </a:p>
      </xdr:txBody>
    </xdr:sp>
    <xdr:clientData/>
  </xdr:twoCellAnchor>
  <xdr:twoCellAnchor>
    <xdr:from>
      <xdr:col>16</xdr:col>
      <xdr:colOff>108857</xdr:colOff>
      <xdr:row>56</xdr:row>
      <xdr:rowOff>27214</xdr:rowOff>
    </xdr:from>
    <xdr:to>
      <xdr:col>16</xdr:col>
      <xdr:colOff>489857</xdr:colOff>
      <xdr:row>57</xdr:row>
      <xdr:rowOff>54428</xdr:rowOff>
    </xdr:to>
    <xdr:sp macro="" textlink="">
      <xdr:nvSpPr>
        <xdr:cNvPr id="3" name="TextBox 2">
          <a:extLst>
            <a:ext uri="{FF2B5EF4-FFF2-40B4-BE49-F238E27FC236}">
              <a16:creationId xmlns:a16="http://schemas.microsoft.com/office/drawing/2014/main" id="{9108AFA9-643D-4860-B7F3-292E1ADC71CD}"/>
            </a:ext>
          </a:extLst>
        </xdr:cNvPr>
        <xdr:cNvSpPr txBox="1"/>
      </xdr:nvSpPr>
      <xdr:spPr>
        <a:xfrm>
          <a:off x="12386582" y="9533164"/>
          <a:ext cx="381000" cy="1891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16</xdr:col>
      <xdr:colOff>108857</xdr:colOff>
      <xdr:row>57</xdr:row>
      <xdr:rowOff>0</xdr:rowOff>
    </xdr:from>
    <xdr:to>
      <xdr:col>16</xdr:col>
      <xdr:colOff>421822</xdr:colOff>
      <xdr:row>57</xdr:row>
      <xdr:rowOff>149678</xdr:rowOff>
    </xdr:to>
    <xdr:sp macro="" textlink="">
      <xdr:nvSpPr>
        <xdr:cNvPr id="4" name="TextBox 3">
          <a:extLst>
            <a:ext uri="{FF2B5EF4-FFF2-40B4-BE49-F238E27FC236}">
              <a16:creationId xmlns:a16="http://schemas.microsoft.com/office/drawing/2014/main" id="{5FAC672F-BCC0-4204-B7A4-72466DE8A916}"/>
            </a:ext>
          </a:extLst>
        </xdr:cNvPr>
        <xdr:cNvSpPr txBox="1"/>
      </xdr:nvSpPr>
      <xdr:spPr>
        <a:xfrm>
          <a:off x="12386582" y="9667875"/>
          <a:ext cx="312965" cy="149678"/>
        </a:xfrm>
        <a:prstGeom prst="rect">
          <a:avLst/>
        </a:prstGeom>
        <a:solidFill>
          <a:schemeClr val="bg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sk-SK" sz="1100"/>
        </a:p>
      </xdr:txBody>
    </xdr:sp>
    <xdr:clientData/>
  </xdr:twoCellAnchor>
  <xdr:twoCellAnchor>
    <xdr:from>
      <xdr:col>1</xdr:col>
      <xdr:colOff>1</xdr:colOff>
      <xdr:row>21</xdr:row>
      <xdr:rowOff>68036</xdr:rowOff>
    </xdr:from>
    <xdr:to>
      <xdr:col>12</xdr:col>
      <xdr:colOff>585108</xdr:colOff>
      <xdr:row>57</xdr:row>
      <xdr:rowOff>71439</xdr:rowOff>
    </xdr:to>
    <xdr:graphicFrame macro="">
      <xdr:nvGraphicFramePr>
        <xdr:cNvPr id="5" name="Chart 4">
          <a:extLst>
            <a:ext uri="{FF2B5EF4-FFF2-40B4-BE49-F238E27FC236}">
              <a16:creationId xmlns:a16="http://schemas.microsoft.com/office/drawing/2014/main" id="{05B129CA-64C2-434E-91C5-288B96C39D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13607</xdr:colOff>
      <xdr:row>63</xdr:row>
      <xdr:rowOff>40820</xdr:rowOff>
    </xdr:from>
    <xdr:to>
      <xdr:col>12</xdr:col>
      <xdr:colOff>571500</xdr:colOff>
      <xdr:row>106</xdr:row>
      <xdr:rowOff>27213</xdr:rowOff>
    </xdr:to>
    <xdr:pic>
      <xdr:nvPicPr>
        <xdr:cNvPr id="6" name="Picture 5">
          <a:extLst>
            <a:ext uri="{FF2B5EF4-FFF2-40B4-BE49-F238E27FC236}">
              <a16:creationId xmlns:a16="http://schemas.microsoft.com/office/drawing/2014/main" id="{E7BA86EA-2D85-48E9-B4DF-91AA0502AFA0}"/>
            </a:ext>
          </a:extLst>
        </xdr:cNvPr>
        <xdr:cNvPicPr>
          <a:picLocks noChangeAspect="1"/>
        </xdr:cNvPicPr>
      </xdr:nvPicPr>
      <xdr:blipFill>
        <a:blip xmlns:r="http://schemas.openxmlformats.org/officeDocument/2006/relationships" r:embed="rId2"/>
        <a:stretch>
          <a:fillRect/>
        </a:stretch>
      </xdr:blipFill>
      <xdr:spPr>
        <a:xfrm>
          <a:off x="394607" y="10804070"/>
          <a:ext cx="11239500" cy="7007679"/>
        </a:xfrm>
        <a:prstGeom prst="rect">
          <a:avLst/>
        </a:prstGeom>
      </xdr:spPr>
    </xdr:pic>
    <xdr:clientData/>
  </xdr:twoCellAnchor>
  <xdr:twoCellAnchor editAs="oneCell">
    <xdr:from>
      <xdr:col>1</xdr:col>
      <xdr:colOff>1</xdr:colOff>
      <xdr:row>107</xdr:row>
      <xdr:rowOff>108858</xdr:rowOff>
    </xdr:from>
    <xdr:to>
      <xdr:col>12</xdr:col>
      <xdr:colOff>489857</xdr:colOff>
      <xdr:row>151</xdr:row>
      <xdr:rowOff>68036</xdr:rowOff>
    </xdr:to>
    <xdr:pic>
      <xdr:nvPicPr>
        <xdr:cNvPr id="7" name="Picture 6">
          <a:extLst>
            <a:ext uri="{FF2B5EF4-FFF2-40B4-BE49-F238E27FC236}">
              <a16:creationId xmlns:a16="http://schemas.microsoft.com/office/drawing/2014/main" id="{97632960-6185-4719-B6F5-54049F90DA1F}"/>
            </a:ext>
          </a:extLst>
        </xdr:cNvPr>
        <xdr:cNvPicPr>
          <a:picLocks noChangeAspect="1"/>
        </xdr:cNvPicPr>
      </xdr:nvPicPr>
      <xdr:blipFill>
        <a:blip xmlns:r="http://schemas.openxmlformats.org/officeDocument/2006/relationships" r:embed="rId3"/>
        <a:stretch>
          <a:fillRect/>
        </a:stretch>
      </xdr:blipFill>
      <xdr:spPr>
        <a:xfrm>
          <a:off x="381001" y="18056679"/>
          <a:ext cx="11171463" cy="7143750"/>
        </a:xfrm>
        <a:prstGeom prst="rect">
          <a:avLst/>
        </a:prstGeom>
      </xdr:spPr>
    </xdr:pic>
    <xdr:clientData/>
  </xdr:twoCellAnchor>
  <xdr:twoCellAnchor>
    <xdr:from>
      <xdr:col>16</xdr:col>
      <xdr:colOff>0</xdr:colOff>
      <xdr:row>21</xdr:row>
      <xdr:rowOff>54428</xdr:rowOff>
    </xdr:from>
    <xdr:to>
      <xdr:col>27</xdr:col>
      <xdr:colOff>585107</xdr:colOff>
      <xdr:row>57</xdr:row>
      <xdr:rowOff>13607</xdr:rowOff>
    </xdr:to>
    <xdr:graphicFrame macro="">
      <xdr:nvGraphicFramePr>
        <xdr:cNvPr id="9" name="Chart 8">
          <a:extLst>
            <a:ext uri="{FF2B5EF4-FFF2-40B4-BE49-F238E27FC236}">
              <a16:creationId xmlns:a16="http://schemas.microsoft.com/office/drawing/2014/main" id="{2372BF49-3191-4B26-B31F-B2C28A7783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16</xdr:col>
      <xdr:colOff>54429</xdr:colOff>
      <xdr:row>63</xdr:row>
      <xdr:rowOff>40821</xdr:rowOff>
    </xdr:from>
    <xdr:to>
      <xdr:col>28</xdr:col>
      <xdr:colOff>54429</xdr:colOff>
      <xdr:row>106</xdr:row>
      <xdr:rowOff>108857</xdr:rowOff>
    </xdr:to>
    <xdr:pic>
      <xdr:nvPicPr>
        <xdr:cNvPr id="10" name="Picture 9">
          <a:extLst>
            <a:ext uri="{FF2B5EF4-FFF2-40B4-BE49-F238E27FC236}">
              <a16:creationId xmlns:a16="http://schemas.microsoft.com/office/drawing/2014/main" id="{D35C38CA-E95B-41E7-99A4-A38C48B585F6}"/>
            </a:ext>
          </a:extLst>
        </xdr:cNvPr>
        <xdr:cNvPicPr>
          <a:picLocks noChangeAspect="1"/>
        </xdr:cNvPicPr>
      </xdr:nvPicPr>
      <xdr:blipFill>
        <a:blip xmlns:r="http://schemas.openxmlformats.org/officeDocument/2006/relationships" r:embed="rId5"/>
        <a:stretch>
          <a:fillRect/>
        </a:stretch>
      </xdr:blipFill>
      <xdr:spPr>
        <a:xfrm>
          <a:off x="13144500" y="10804071"/>
          <a:ext cx="11144250" cy="7089322"/>
        </a:xfrm>
        <a:prstGeom prst="rect">
          <a:avLst/>
        </a:prstGeom>
      </xdr:spPr>
    </xdr:pic>
    <xdr:clientData/>
  </xdr:twoCellAnchor>
  <xdr:twoCellAnchor editAs="oneCell">
    <xdr:from>
      <xdr:col>16</xdr:col>
      <xdr:colOff>68035</xdr:colOff>
      <xdr:row>107</xdr:row>
      <xdr:rowOff>54429</xdr:rowOff>
    </xdr:from>
    <xdr:to>
      <xdr:col>28</xdr:col>
      <xdr:colOff>54429</xdr:colOff>
      <xdr:row>152</xdr:row>
      <xdr:rowOff>13607</xdr:rowOff>
    </xdr:to>
    <xdr:pic>
      <xdr:nvPicPr>
        <xdr:cNvPr id="11" name="Picture 10">
          <a:extLst>
            <a:ext uri="{FF2B5EF4-FFF2-40B4-BE49-F238E27FC236}">
              <a16:creationId xmlns:a16="http://schemas.microsoft.com/office/drawing/2014/main" id="{40E3A88D-196A-438A-A75D-1FAD80DBD5CE}"/>
            </a:ext>
          </a:extLst>
        </xdr:cNvPr>
        <xdr:cNvPicPr>
          <a:picLocks noChangeAspect="1"/>
        </xdr:cNvPicPr>
      </xdr:nvPicPr>
      <xdr:blipFill>
        <a:blip xmlns:r="http://schemas.openxmlformats.org/officeDocument/2006/relationships" r:embed="rId6"/>
        <a:stretch>
          <a:fillRect/>
        </a:stretch>
      </xdr:blipFill>
      <xdr:spPr>
        <a:xfrm>
          <a:off x="13158106" y="18002250"/>
          <a:ext cx="11130644" cy="7307036"/>
        </a:xfrm>
        <a:prstGeom prst="rect">
          <a:avLst/>
        </a:prstGeom>
      </xdr:spPr>
    </xdr:pic>
    <xdr:clientData/>
  </xdr:twoCellAnchor>
</xdr:wsDr>
</file>

<file path=xl/drawings/drawing5.xml><?xml version="1.0" encoding="utf-8"?>
<c:userShapes xmlns:c="http://schemas.openxmlformats.org/drawingml/2006/chart">
  <cdr:relSizeAnchor xmlns:cdr="http://schemas.openxmlformats.org/drawingml/2006/chartDrawing">
    <cdr:from>
      <cdr:x>0.0049</cdr:x>
      <cdr:y>0.95804</cdr:y>
    </cdr:from>
    <cdr:to>
      <cdr:x>0.04284</cdr:x>
      <cdr:y>0.99068</cdr:y>
    </cdr:to>
    <cdr:sp macro="" textlink="">
      <cdr:nvSpPr>
        <cdr:cNvPr id="2" name="TextBox 1">
          <a:extLst xmlns:a="http://schemas.openxmlformats.org/drawingml/2006/main">
            <a:ext uri="{FF2B5EF4-FFF2-40B4-BE49-F238E27FC236}">
              <a16:creationId xmlns:a16="http://schemas.microsoft.com/office/drawing/2014/main" id="{545A7183-6238-3824-D36D-90A28B33D458}"/>
            </a:ext>
          </a:extLst>
        </cdr:cNvPr>
        <cdr:cNvSpPr txBox="1"/>
      </cdr:nvSpPr>
      <cdr:spPr>
        <a:xfrm xmlns:a="http://schemas.openxmlformats.org/drawingml/2006/main">
          <a:off x="54429" y="5592536"/>
          <a:ext cx="421821"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sk-SK" sz="1100"/>
        </a:p>
      </cdr:txBody>
    </cdr:sp>
  </cdr:relSizeAnchor>
  <cdr:relSizeAnchor xmlns:cdr="http://schemas.openxmlformats.org/drawingml/2006/chartDrawing">
    <cdr:from>
      <cdr:x>0.00857</cdr:x>
      <cdr:y>0.95571</cdr:y>
    </cdr:from>
    <cdr:to>
      <cdr:x>0.03794</cdr:x>
      <cdr:y>0.99301</cdr:y>
    </cdr:to>
    <cdr:sp macro="" textlink="">
      <cdr:nvSpPr>
        <cdr:cNvPr id="3" name="TextBox 2">
          <a:extLst xmlns:a="http://schemas.openxmlformats.org/drawingml/2006/main">
            <a:ext uri="{FF2B5EF4-FFF2-40B4-BE49-F238E27FC236}">
              <a16:creationId xmlns:a16="http://schemas.microsoft.com/office/drawing/2014/main" id="{37B5FE26-047D-C814-2084-0EC9723A553E}"/>
            </a:ext>
          </a:extLst>
        </cdr:cNvPr>
        <cdr:cNvSpPr txBox="1"/>
      </cdr:nvSpPr>
      <cdr:spPr>
        <a:xfrm xmlns:a="http://schemas.openxmlformats.org/drawingml/2006/main">
          <a:off x="95250" y="5578929"/>
          <a:ext cx="326572" cy="217714"/>
        </a:xfrm>
        <a:prstGeom xmlns:a="http://schemas.openxmlformats.org/drawingml/2006/main" prst="rect">
          <a:avLst/>
        </a:prstGeom>
        <a:solidFill xmlns:a="http://schemas.openxmlformats.org/drawingml/2006/main">
          <a:schemeClr val="bg1"/>
        </a:solidFill>
        <a:ln xmlns:a="http://schemas.openxmlformats.org/drawingml/2006/main">
          <a:solidFill>
            <a:schemeClr val="bg1"/>
          </a:solidFill>
        </a:ln>
      </cdr:spPr>
      <cdr:txBody>
        <a:bodyPr xmlns:a="http://schemas.openxmlformats.org/drawingml/2006/main" vertOverflow="clip" wrap="square" rtlCol="0"/>
        <a:lstStyle xmlns:a="http://schemas.openxmlformats.org/drawingml/2006/main"/>
        <a:p xmlns:a="http://schemas.openxmlformats.org/drawingml/2006/main">
          <a:endParaRPr lang="sk-SK" sz="1100"/>
        </a:p>
      </cdr:txBody>
    </cdr:sp>
  </cdr:relSizeAnchor>
</c:userShape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18.bin"/><Relationship Id="rId4" Type="http://schemas.openxmlformats.org/officeDocument/2006/relationships/comments" Target="../comments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5050"/>
  </sheetPr>
  <dimension ref="B1:DS348"/>
  <sheetViews>
    <sheetView tabSelected="1" zoomScale="80" zoomScaleNormal="80" workbookViewId="0">
      <selection activeCell="B22" sqref="B22"/>
    </sheetView>
  </sheetViews>
  <sheetFormatPr defaultColWidth="6.85546875" defaultRowHeight="11.25"/>
  <cols>
    <col min="1" max="1" width="2.7109375" style="2" customWidth="1"/>
    <col min="2" max="2" width="50.28515625" style="2" customWidth="1"/>
    <col min="3" max="9" width="13.7109375" style="2" customWidth="1"/>
    <col min="10" max="43" width="7.7109375" style="2" customWidth="1"/>
    <col min="44" max="16384" width="6.85546875" style="2"/>
  </cols>
  <sheetData>
    <row r="1" spans="2:8" ht="12" thickBot="1"/>
    <row r="2" spans="2:8">
      <c r="B2" s="59" t="s">
        <v>1</v>
      </c>
      <c r="C2" s="60"/>
      <c r="D2" s="60"/>
      <c r="E2" s="60"/>
      <c r="F2" s="60"/>
      <c r="G2" s="60"/>
      <c r="H2" s="61"/>
    </row>
    <row r="3" spans="2:8">
      <c r="B3" s="62" t="s">
        <v>485</v>
      </c>
      <c r="C3" s="63"/>
      <c r="D3" s="63"/>
      <c r="E3" s="63"/>
      <c r="F3" s="45"/>
      <c r="G3" s="63"/>
      <c r="H3" s="64"/>
    </row>
    <row r="4" spans="2:8">
      <c r="B4" s="62" t="s">
        <v>488</v>
      </c>
      <c r="C4" s="63"/>
      <c r="D4" s="63"/>
      <c r="E4" s="63"/>
      <c r="F4" s="63"/>
      <c r="H4" s="64"/>
    </row>
    <row r="5" spans="2:8">
      <c r="B5" s="62" t="s">
        <v>101</v>
      </c>
      <c r="C5" s="63"/>
      <c r="D5" s="63"/>
      <c r="E5" s="63"/>
      <c r="F5" s="63"/>
      <c r="G5" s="63"/>
      <c r="H5" s="64"/>
    </row>
    <row r="6" spans="2:8" ht="12" thickBot="1">
      <c r="B6" s="65" t="s">
        <v>484</v>
      </c>
      <c r="C6" s="66"/>
      <c r="D6" s="66"/>
      <c r="E6" s="66"/>
      <c r="F6" s="66"/>
      <c r="G6" s="66"/>
      <c r="H6" s="67"/>
    </row>
    <row r="8" spans="2:8" ht="17.25" customHeight="1">
      <c r="B8" s="891" t="s">
        <v>59</v>
      </c>
      <c r="C8" s="891"/>
    </row>
    <row r="9" spans="2:8">
      <c r="B9" s="33" t="s">
        <v>2</v>
      </c>
      <c r="C9" s="46">
        <v>0.04</v>
      </c>
    </row>
    <row r="10" spans="2:8">
      <c r="B10" s="3" t="s">
        <v>3</v>
      </c>
      <c r="C10" s="47">
        <v>0.05</v>
      </c>
    </row>
    <row r="11" spans="2:8">
      <c r="B11" s="3" t="s">
        <v>4</v>
      </c>
      <c r="C11" s="18">
        <v>2024</v>
      </c>
      <c r="D11" s="2" t="s">
        <v>7</v>
      </c>
    </row>
    <row r="12" spans="2:8">
      <c r="B12" s="3" t="s">
        <v>257</v>
      </c>
      <c r="C12" s="48">
        <v>40</v>
      </c>
    </row>
    <row r="13" spans="2:8">
      <c r="B13" s="3" t="s">
        <v>79</v>
      </c>
      <c r="C13" s="133">
        <v>2024</v>
      </c>
      <c r="D13" s="2" t="s">
        <v>258</v>
      </c>
    </row>
    <row r="14" spans="2:8">
      <c r="B14" s="3" t="s">
        <v>80</v>
      </c>
      <c r="C14" s="133">
        <v>2027</v>
      </c>
      <c r="D14" s="213" t="s">
        <v>483</v>
      </c>
      <c r="E14" s="214">
        <v>2027</v>
      </c>
      <c r="F14" s="215" t="s">
        <v>953</v>
      </c>
    </row>
    <row r="15" spans="2:8">
      <c r="B15" s="3" t="s">
        <v>956</v>
      </c>
      <c r="C15" s="133">
        <v>2028</v>
      </c>
      <c r="D15" s="213" t="s">
        <v>483</v>
      </c>
      <c r="E15" s="214">
        <f>C15</f>
        <v>2028</v>
      </c>
      <c r="F15" s="215" t="s">
        <v>954</v>
      </c>
    </row>
    <row r="16" spans="2:8">
      <c r="B16" s="3" t="s">
        <v>259</v>
      </c>
      <c r="C16" s="18">
        <f>C13+C12-1</f>
        <v>2063</v>
      </c>
    </row>
    <row r="17" spans="2:20">
      <c r="B17" s="3" t="s">
        <v>5</v>
      </c>
      <c r="C17" s="48" t="s">
        <v>0</v>
      </c>
    </row>
    <row r="20" spans="2:20" ht="17.25" customHeight="1">
      <c r="B20" s="171" t="s">
        <v>88</v>
      </c>
      <c r="C20" s="156">
        <v>2010</v>
      </c>
      <c r="D20" s="156">
        <v>2011</v>
      </c>
      <c r="E20" s="156">
        <v>2012</v>
      </c>
      <c r="F20" s="156">
        <v>2013</v>
      </c>
      <c r="G20" s="156">
        <v>2014</v>
      </c>
      <c r="H20" s="157">
        <v>2015</v>
      </c>
      <c r="I20" s="157">
        <v>2016</v>
      </c>
      <c r="J20" s="157">
        <v>2017</v>
      </c>
      <c r="K20" s="157">
        <v>2018</v>
      </c>
      <c r="L20" s="157">
        <v>2019</v>
      </c>
      <c r="M20" s="157">
        <v>2020</v>
      </c>
      <c r="N20" s="157">
        <v>2021</v>
      </c>
      <c r="O20" s="157">
        <v>2022</v>
      </c>
      <c r="P20" s="157">
        <v>2023</v>
      </c>
      <c r="Q20" s="157">
        <v>2024</v>
      </c>
      <c r="R20" s="157">
        <v>2025</v>
      </c>
      <c r="S20" s="157">
        <v>2026</v>
      </c>
    </row>
    <row r="21" spans="2:20">
      <c r="B21" s="48" t="s">
        <v>89</v>
      </c>
      <c r="C21" s="70">
        <f>'Cenová inflácia'!E10/100</f>
        <v>9.6309892889521187E-3</v>
      </c>
      <c r="D21" s="70">
        <f>'Cenová inflácia'!F10/100</f>
        <v>3.908765900839728E-2</v>
      </c>
      <c r="E21" s="70">
        <f>'Cenová inflácia'!G10/100</f>
        <v>3.6150362463793551E-2</v>
      </c>
      <c r="F21" s="70">
        <f>'Cenová inflácia'!H10/100</f>
        <v>1.3889746916249779E-2</v>
      </c>
      <c r="G21" s="70">
        <f>'Cenová inflácia'!I10/100</f>
        <v>-6.9055864163058978E-4</v>
      </c>
      <c r="H21" s="70">
        <f>'Cenová inflácia'!J10/100</f>
        <v>-3.2875013973152623E-3</v>
      </c>
      <c r="I21" s="70">
        <f>'Cenová inflácia'!K10/100</f>
        <v>-5.1947654708678348E-3</v>
      </c>
      <c r="J21" s="70">
        <f>'Cenová inflácia'!L10/100</f>
        <v>1.3083863171367671E-2</v>
      </c>
      <c r="K21" s="70">
        <f>'Cenová inflácia'!M10/100</f>
        <v>2.4942252144670052E-2</v>
      </c>
      <c r="L21" s="70">
        <f>'Cenová inflácia'!N10/100</f>
        <v>2.6775097969561568E-2</v>
      </c>
      <c r="M21" s="70">
        <f>'Cenová inflácia'!O10/100</f>
        <v>1.9325023003922803E-2</v>
      </c>
      <c r="N21" s="70">
        <f>'Cenová inflácia'!P10/100</f>
        <v>3.1603780536386905E-2</v>
      </c>
      <c r="O21" s="70">
        <f>'Cenová inflácia'!Q10/100</f>
        <v>0.12780022596737828</v>
      </c>
      <c r="P21" s="70">
        <f>'Cenová inflácia'!R10/100</f>
        <v>9.7998069459672474E-2</v>
      </c>
      <c r="Q21" s="70">
        <f>'Cenová inflácia'!S10/100</f>
        <v>5.3337327309215476E-2</v>
      </c>
      <c r="R21" s="70">
        <f>'Cenová inflácia'!T10/100</f>
        <v>4.153769845228239E-2</v>
      </c>
      <c r="S21" s="70">
        <f>'Cenová inflácia'!U10/100</f>
        <v>2.1888254005387742E-2</v>
      </c>
    </row>
    <row r="22" spans="2:20">
      <c r="B22" s="222" t="s">
        <v>836</v>
      </c>
      <c r="C22" s="49"/>
      <c r="D22" s="49"/>
      <c r="E22" s="50"/>
      <c r="F22" s="50"/>
      <c r="G22" s="50"/>
      <c r="H22" s="51"/>
      <c r="I22" s="51"/>
    </row>
    <row r="23" spans="2:20">
      <c r="B23" s="49"/>
      <c r="C23" s="49"/>
      <c r="D23" s="49"/>
      <c r="E23" s="50"/>
      <c r="F23" s="50"/>
      <c r="G23" s="50"/>
      <c r="H23" s="51"/>
      <c r="I23" s="51"/>
    </row>
    <row r="24" spans="2:20" ht="17.25" customHeight="1">
      <c r="B24" s="892" t="s">
        <v>90</v>
      </c>
      <c r="C24" s="892"/>
      <c r="D24" s="49"/>
      <c r="E24" s="50"/>
      <c r="F24" s="50"/>
      <c r="G24" s="50"/>
      <c r="H24" s="51"/>
      <c r="I24" s="51"/>
    </row>
    <row r="25" spans="2:20">
      <c r="B25" s="48" t="s">
        <v>493</v>
      </c>
      <c r="C25" s="224">
        <f>1/(1+Q21)</f>
        <v>0.94936348885929311</v>
      </c>
      <c r="D25" s="49"/>
      <c r="E25" s="50"/>
      <c r="F25" s="50"/>
      <c r="G25" s="50"/>
      <c r="H25" s="50"/>
      <c r="I25" s="50"/>
      <c r="J25" s="50"/>
      <c r="K25" s="50"/>
      <c r="L25" s="50"/>
      <c r="M25" s="50"/>
      <c r="N25" s="50"/>
      <c r="O25" s="50"/>
      <c r="P25" s="50"/>
      <c r="Q25" s="50"/>
      <c r="R25" s="50"/>
      <c r="S25" s="50"/>
      <c r="T25" s="50"/>
    </row>
    <row r="26" spans="2:20">
      <c r="B26" s="48" t="s">
        <v>494</v>
      </c>
      <c r="C26" s="224">
        <f>C25/(1+P21)</f>
        <v>0.86463129149805995</v>
      </c>
      <c r="D26" s="49"/>
      <c r="E26" s="50"/>
      <c r="F26" s="50"/>
      <c r="G26" s="50"/>
      <c r="H26" s="51"/>
      <c r="I26" s="51"/>
    </row>
    <row r="27" spans="2:20">
      <c r="B27" s="48" t="s">
        <v>495</v>
      </c>
      <c r="C27" s="224">
        <f>C26/(1+O21)</f>
        <v>0.76665288017336275</v>
      </c>
      <c r="D27" s="49"/>
      <c r="E27" s="50"/>
      <c r="F27" s="50"/>
      <c r="G27" s="50"/>
      <c r="H27" s="51"/>
      <c r="I27" s="51"/>
    </row>
    <row r="28" spans="2:20">
      <c r="B28" s="48" t="s">
        <v>496</v>
      </c>
      <c r="C28" s="224">
        <f>C27/(1+N21)</f>
        <v>0.74316602424114642</v>
      </c>
      <c r="D28" s="49"/>
      <c r="E28" s="50"/>
      <c r="F28" s="50"/>
      <c r="G28" s="50"/>
      <c r="H28" s="51"/>
      <c r="I28" s="51"/>
    </row>
    <row r="29" spans="2:20">
      <c r="B29" s="48" t="s">
        <v>497</v>
      </c>
      <c r="C29" s="224">
        <f>C28/(1+M21)</f>
        <v>0.7290766021332985</v>
      </c>
      <c r="D29" s="49"/>
      <c r="E29" s="50"/>
      <c r="F29" s="50"/>
      <c r="G29" s="50"/>
      <c r="H29" s="51"/>
      <c r="I29" s="51"/>
    </row>
    <row r="30" spans="2:20">
      <c r="B30" s="48" t="s">
        <v>498</v>
      </c>
      <c r="C30" s="224">
        <f>C29/(1+L21)</f>
        <v>0.71006455413170899</v>
      </c>
      <c r="D30" s="49"/>
      <c r="E30" s="50"/>
      <c r="F30" s="50"/>
      <c r="G30" s="50"/>
      <c r="H30" s="51"/>
      <c r="I30" s="51"/>
    </row>
    <row r="31" spans="2:20">
      <c r="B31" s="48" t="s">
        <v>499</v>
      </c>
      <c r="C31" s="224">
        <f>C30/(1+K21)</f>
        <v>0.69278493753761627</v>
      </c>
      <c r="D31" s="49"/>
      <c r="E31" s="50"/>
      <c r="F31" s="50"/>
      <c r="G31" s="50"/>
      <c r="H31" s="51"/>
      <c r="I31" s="51"/>
    </row>
    <row r="32" spans="2:20">
      <c r="B32" s="48" t="s">
        <v>500</v>
      </c>
      <c r="C32" s="224">
        <f>C31/(1+J21)</f>
        <v>0.68383769865696553</v>
      </c>
      <c r="D32" s="49"/>
      <c r="E32" s="50"/>
      <c r="F32" s="50"/>
      <c r="G32" s="50"/>
      <c r="H32" s="51"/>
      <c r="I32" s="51"/>
    </row>
    <row r="33" spans="2:45">
      <c r="B33" s="48" t="s">
        <v>501</v>
      </c>
      <c r="C33" s="224">
        <f>C32/(1+I21)</f>
        <v>0.68740862524777946</v>
      </c>
      <c r="D33" s="49"/>
      <c r="E33" s="50"/>
      <c r="F33" s="50"/>
      <c r="G33" s="50"/>
      <c r="H33" s="51"/>
      <c r="I33" s="51"/>
    </row>
    <row r="34" spans="2:45">
      <c r="B34" s="48" t="s">
        <v>502</v>
      </c>
      <c r="C34" s="224">
        <f>C33/(1+H21)</f>
        <v>0.68967593585058296</v>
      </c>
      <c r="D34" s="49"/>
      <c r="E34" s="50"/>
      <c r="F34" s="50"/>
      <c r="G34" s="50"/>
      <c r="H34" s="51"/>
      <c r="I34" s="51"/>
    </row>
    <row r="35" spans="2:45">
      <c r="B35" s="48" t="s">
        <v>503</v>
      </c>
      <c r="C35" s="224">
        <f>C34/(1+G21)</f>
        <v>0.69015252664189874</v>
      </c>
      <c r="D35" s="49"/>
      <c r="E35" s="50"/>
      <c r="F35" s="50"/>
      <c r="G35" s="50"/>
      <c r="H35" s="51"/>
      <c r="I35" s="51"/>
    </row>
    <row r="36" spans="2:45">
      <c r="B36" s="48" t="s">
        <v>504</v>
      </c>
      <c r="C36" s="224">
        <f>C35/(1+F21)</f>
        <v>0.68069780638476796</v>
      </c>
      <c r="D36" s="49"/>
      <c r="E36" s="50"/>
      <c r="F36" s="50"/>
      <c r="G36" s="50"/>
      <c r="H36" s="51"/>
      <c r="I36" s="51"/>
    </row>
    <row r="37" spans="2:45">
      <c r="B37" s="48" t="s">
        <v>505</v>
      </c>
      <c r="C37" s="224">
        <f>C36/(1+E21)</f>
        <v>0.65694886673221986</v>
      </c>
    </row>
    <row r="38" spans="2:45">
      <c r="B38" s="48" t="s">
        <v>506</v>
      </c>
      <c r="C38" s="224">
        <f>C37/(1+D21)</f>
        <v>0.63223623246487892</v>
      </c>
    </row>
    <row r="39" spans="2:45">
      <c r="B39" s="48" t="s">
        <v>507</v>
      </c>
      <c r="C39" s="224">
        <f>C38/(1+C21)</f>
        <v>0.62620525634830293</v>
      </c>
    </row>
    <row r="41" spans="2:45">
      <c r="B41" s="891" t="s">
        <v>102</v>
      </c>
      <c r="C41" s="158"/>
      <c r="D41" s="159">
        <v>2022</v>
      </c>
      <c r="E41" s="159">
        <v>2023</v>
      </c>
      <c r="F41" s="159">
        <v>2024</v>
      </c>
      <c r="G41" s="159">
        <v>2025</v>
      </c>
      <c r="H41" s="159">
        <v>2026</v>
      </c>
      <c r="I41" s="159">
        <v>2027</v>
      </c>
      <c r="J41" s="159">
        <v>2028</v>
      </c>
      <c r="K41" s="159">
        <v>2029</v>
      </c>
      <c r="L41" s="159">
        <v>2030</v>
      </c>
      <c r="M41" s="159">
        <v>2031</v>
      </c>
      <c r="N41" s="159">
        <v>2032</v>
      </c>
      <c r="O41" s="159">
        <v>2033</v>
      </c>
      <c r="P41" s="159">
        <v>2034</v>
      </c>
      <c r="Q41" s="159">
        <v>2035</v>
      </c>
      <c r="R41" s="159">
        <v>2036</v>
      </c>
      <c r="S41" s="159">
        <v>2037</v>
      </c>
      <c r="T41" s="159">
        <v>2038</v>
      </c>
      <c r="U41" s="159">
        <v>2039</v>
      </c>
      <c r="V41" s="159">
        <v>2040</v>
      </c>
      <c r="W41" s="159">
        <v>2041</v>
      </c>
      <c r="X41" s="159">
        <v>2042</v>
      </c>
      <c r="Y41" s="159">
        <v>2043</v>
      </c>
      <c r="Z41" s="159">
        <v>2044</v>
      </c>
      <c r="AA41" s="159">
        <v>2045</v>
      </c>
      <c r="AB41" s="159">
        <v>2046</v>
      </c>
      <c r="AC41" s="159">
        <v>2047</v>
      </c>
      <c r="AD41" s="159">
        <v>2048</v>
      </c>
      <c r="AE41" s="159">
        <v>2049</v>
      </c>
      <c r="AF41" s="159">
        <v>2050</v>
      </c>
      <c r="AG41" s="159">
        <v>2051</v>
      </c>
      <c r="AH41" s="159">
        <v>2052</v>
      </c>
      <c r="AI41" s="159">
        <v>2053</v>
      </c>
      <c r="AJ41" s="159">
        <v>2054</v>
      </c>
      <c r="AK41" s="159">
        <v>2055</v>
      </c>
      <c r="AL41" s="159">
        <v>2056</v>
      </c>
      <c r="AM41" s="159">
        <v>2057</v>
      </c>
      <c r="AN41" s="159">
        <v>2058</v>
      </c>
      <c r="AO41" s="159">
        <v>2059</v>
      </c>
      <c r="AP41" s="159">
        <v>2060</v>
      </c>
      <c r="AQ41" s="159">
        <v>2061</v>
      </c>
      <c r="AR41" s="159">
        <v>2062</v>
      </c>
      <c r="AS41" s="159">
        <v>2063</v>
      </c>
    </row>
    <row r="42" spans="2:45">
      <c r="B42" s="891" t="s">
        <v>46</v>
      </c>
      <c r="C42" s="3"/>
      <c r="D42" s="90">
        <f>'Hrubý domáci produkt'!Q11/100</f>
        <v>1.7235918481922186E-2</v>
      </c>
      <c r="E42" s="90">
        <f>'Hrubý domáci produkt'!R11/100</f>
        <v>1.2652163061491528E-2</v>
      </c>
      <c r="F42" s="90">
        <f>'Hrubý domáci produkt'!S11/100</f>
        <v>1.7566807559391773E-2</v>
      </c>
      <c r="G42" s="90">
        <f>'Hrubý domáci produkt'!T11/100</f>
        <v>2.6541471020296026E-2</v>
      </c>
      <c r="H42" s="90">
        <f>'Hrubý domáci produkt'!U11/100</f>
        <v>1.9079963540707956E-2</v>
      </c>
      <c r="I42" s="90">
        <v>1.7000000000000001E-2</v>
      </c>
      <c r="J42" s="90">
        <v>1.7000000000000001E-2</v>
      </c>
      <c r="K42" s="90">
        <v>1.7000000000000001E-2</v>
      </c>
      <c r="L42" s="90">
        <v>1.7000000000000001E-2</v>
      </c>
      <c r="M42" s="90">
        <v>1.2E-2</v>
      </c>
      <c r="N42" s="90">
        <v>1.2E-2</v>
      </c>
      <c r="O42" s="90">
        <v>1.2E-2</v>
      </c>
      <c r="P42" s="90">
        <v>1.2E-2</v>
      </c>
      <c r="Q42" s="90">
        <v>1.2E-2</v>
      </c>
      <c r="R42" s="90">
        <v>1.2E-2</v>
      </c>
      <c r="S42" s="90">
        <v>1.2E-2</v>
      </c>
      <c r="T42" s="90">
        <v>1.2E-2</v>
      </c>
      <c r="U42" s="90">
        <v>1.2E-2</v>
      </c>
      <c r="V42" s="90">
        <v>1.2E-2</v>
      </c>
      <c r="W42" s="90">
        <v>0.01</v>
      </c>
      <c r="X42" s="90">
        <v>0.01</v>
      </c>
      <c r="Y42" s="90">
        <v>0.01</v>
      </c>
      <c r="Z42" s="90">
        <v>0.01</v>
      </c>
      <c r="AA42" s="90">
        <v>0.01</v>
      </c>
      <c r="AB42" s="90">
        <v>0.01</v>
      </c>
      <c r="AC42" s="90">
        <v>0.01</v>
      </c>
      <c r="AD42" s="90">
        <v>0.01</v>
      </c>
      <c r="AE42" s="90">
        <v>0.01</v>
      </c>
      <c r="AF42" s="90">
        <v>0.01</v>
      </c>
      <c r="AG42" s="90">
        <v>1.2999999999999999E-2</v>
      </c>
      <c r="AH42" s="90">
        <v>1.2999999999999999E-2</v>
      </c>
      <c r="AI42" s="90">
        <v>1.2999999999999999E-2</v>
      </c>
      <c r="AJ42" s="90">
        <v>1.2999999999999999E-2</v>
      </c>
      <c r="AK42" s="90">
        <v>1.2999999999999999E-2</v>
      </c>
      <c r="AL42" s="90">
        <v>1.2999999999999999E-2</v>
      </c>
      <c r="AM42" s="90">
        <v>1.2999999999999999E-2</v>
      </c>
      <c r="AN42" s="90">
        <v>1.2999999999999999E-2</v>
      </c>
      <c r="AO42" s="90">
        <v>1.2999999999999999E-2</v>
      </c>
      <c r="AP42" s="90">
        <v>1.2999999999999999E-2</v>
      </c>
      <c r="AQ42" s="90">
        <v>1.2999999999999999E-2</v>
      </c>
      <c r="AR42" s="90">
        <v>1.2999999999999999E-2</v>
      </c>
      <c r="AS42" s="90">
        <v>1.2999999999999999E-2</v>
      </c>
    </row>
    <row r="43" spans="2:45">
      <c r="B43" s="223" t="s">
        <v>837</v>
      </c>
    </row>
    <row r="44" spans="2:45">
      <c r="B44" s="1"/>
    </row>
    <row r="45" spans="2:45" ht="25.5" customHeight="1">
      <c r="B45" s="170" t="s">
        <v>324</v>
      </c>
      <c r="C45" s="882" t="s">
        <v>317</v>
      </c>
      <c r="D45" s="882"/>
    </row>
    <row r="46" spans="2:45" ht="25.5" customHeight="1">
      <c r="B46" s="191" t="s">
        <v>316</v>
      </c>
      <c r="C46" s="187" t="s">
        <v>318</v>
      </c>
      <c r="D46" s="187" t="s">
        <v>319</v>
      </c>
    </row>
    <row r="47" spans="2:45">
      <c r="B47" s="161" t="s">
        <v>320</v>
      </c>
      <c r="C47" s="162">
        <f>14738/$C$27</f>
        <v>19223.823951026316</v>
      </c>
      <c r="D47" s="163">
        <f>16595/$C$27</f>
        <v>21646.041421311016</v>
      </c>
    </row>
    <row r="48" spans="2:45">
      <c r="B48" s="161" t="s">
        <v>321</v>
      </c>
      <c r="C48" s="162">
        <f>29476/$C$27</f>
        <v>38447.647902052631</v>
      </c>
      <c r="D48" s="163">
        <f>33190/$C$27</f>
        <v>43292.082842622032</v>
      </c>
    </row>
    <row r="49" spans="2:4">
      <c r="B49" s="161" t="s">
        <v>322</v>
      </c>
      <c r="C49" s="162">
        <f>7498/$C$27</f>
        <v>9780.1758708641155</v>
      </c>
      <c r="D49" s="163">
        <f>7498/$C$27</f>
        <v>9780.1758708641155</v>
      </c>
    </row>
    <row r="50" spans="2:4">
      <c r="B50" s="161" t="s">
        <v>323</v>
      </c>
      <c r="C50" s="162">
        <f>14996/$C$27</f>
        <v>19560.351741728231</v>
      </c>
      <c r="D50" s="163">
        <f>14996/$C$27</f>
        <v>19560.351741728231</v>
      </c>
    </row>
    <row r="51" spans="2:4">
      <c r="B51" s="1" t="s">
        <v>529</v>
      </c>
    </row>
    <row r="52" spans="2:4">
      <c r="B52" s="1"/>
    </row>
    <row r="53" spans="2:4" ht="24.75" customHeight="1">
      <c r="B53" s="167" t="s">
        <v>330</v>
      </c>
      <c r="C53" s="882" t="s">
        <v>326</v>
      </c>
      <c r="D53" s="882"/>
    </row>
    <row r="54" spans="2:4" ht="25.5" customHeight="1">
      <c r="B54" s="191" t="s">
        <v>325</v>
      </c>
      <c r="C54" s="187" t="s">
        <v>318</v>
      </c>
      <c r="D54" s="187" t="s">
        <v>319</v>
      </c>
    </row>
    <row r="55" spans="2:4">
      <c r="B55" s="164" t="s">
        <v>327</v>
      </c>
      <c r="C55" s="165">
        <f>12404/$C$27</f>
        <v>16179.421379327618</v>
      </c>
      <c r="D55" s="166">
        <f>15137/$C$27</f>
        <v>19744.268092460672</v>
      </c>
    </row>
    <row r="56" spans="2:4">
      <c r="B56" s="164" t="s">
        <v>328</v>
      </c>
      <c r="C56" s="165">
        <f>7895/$C$27</f>
        <v>10298.011269734887</v>
      </c>
      <c r="D56" s="166">
        <f>7895/$C$27</f>
        <v>10298.011269734887</v>
      </c>
    </row>
    <row r="57" spans="2:4">
      <c r="B57" s="1" t="s">
        <v>528</v>
      </c>
    </row>
    <row r="58" spans="2:4">
      <c r="B58" s="1"/>
    </row>
    <row r="59" spans="2:4" ht="25.5" customHeight="1">
      <c r="B59" s="167" t="s">
        <v>331</v>
      </c>
      <c r="C59" s="882" t="s">
        <v>329</v>
      </c>
      <c r="D59" s="882"/>
    </row>
    <row r="60" spans="2:4" ht="25.5" customHeight="1">
      <c r="B60" s="191" t="s">
        <v>316</v>
      </c>
      <c r="C60" s="187" t="s">
        <v>318</v>
      </c>
      <c r="D60" s="187" t="s">
        <v>319</v>
      </c>
    </row>
    <row r="61" spans="2:4">
      <c r="B61" s="161" t="s">
        <v>327</v>
      </c>
      <c r="C61" s="168">
        <f>2785/$C$27</f>
        <v>3632.6740197861509</v>
      </c>
      <c r="D61" s="169">
        <f>5065/$C$27</f>
        <v>6606.6405422681701</v>
      </c>
    </row>
    <row r="62" spans="2:4">
      <c r="B62" s="161" t="s">
        <v>328</v>
      </c>
      <c r="C62" s="168">
        <f>2469/$C$27</f>
        <v>3220.4926947403974</v>
      </c>
      <c r="D62" s="169">
        <f>2591/$C$27</f>
        <v>3379.6259911188213</v>
      </c>
    </row>
    <row r="63" spans="2:4">
      <c r="B63" s="1" t="s">
        <v>527</v>
      </c>
    </row>
    <row r="64" spans="2:4">
      <c r="B64" s="1"/>
    </row>
    <row r="65" spans="2:6" ht="25.5" customHeight="1">
      <c r="B65" s="167" t="s">
        <v>335</v>
      </c>
      <c r="C65" s="882" t="s">
        <v>332</v>
      </c>
      <c r="D65" s="882"/>
    </row>
    <row r="66" spans="2:6" ht="12.75" customHeight="1">
      <c r="B66" s="191" t="s">
        <v>316</v>
      </c>
      <c r="C66" s="187" t="s">
        <v>333</v>
      </c>
      <c r="D66" s="187" t="s">
        <v>334</v>
      </c>
    </row>
    <row r="67" spans="2:6">
      <c r="B67" s="164" t="s">
        <v>320</v>
      </c>
      <c r="C67" s="173">
        <f>198495/$C$27</f>
        <v>258911.1775789774</v>
      </c>
      <c r="D67" s="174">
        <f>53247/$C$27</f>
        <v>69453.857641491268</v>
      </c>
    </row>
    <row r="68" spans="2:6">
      <c r="B68" s="164" t="s">
        <v>321</v>
      </c>
      <c r="C68" s="173">
        <f>619664/$C$27</f>
        <v>808271.92595934123</v>
      </c>
      <c r="D68" s="174">
        <f>87549/$C$27</f>
        <v>114196.40134946418</v>
      </c>
    </row>
    <row r="69" spans="2:6">
      <c r="B69" s="164" t="s">
        <v>322</v>
      </c>
      <c r="C69" s="173">
        <f>77782/$C$27</f>
        <v>101456.60704021774</v>
      </c>
      <c r="D69" s="174">
        <f>6003/$C$27</f>
        <v>7830.1408045875278</v>
      </c>
    </row>
    <row r="70" spans="2:6">
      <c r="B70" s="164" t="s">
        <v>323</v>
      </c>
      <c r="C70" s="173">
        <f>242821/$C$27</f>
        <v>316728.73901561688</v>
      </c>
      <c r="D70" s="174">
        <f>9870/$C$27</f>
        <v>12874.144551270847</v>
      </c>
    </row>
    <row r="71" spans="2:6">
      <c r="B71" s="1" t="s">
        <v>526</v>
      </c>
    </row>
    <row r="72" spans="2:6">
      <c r="B72" s="1"/>
    </row>
    <row r="73" spans="2:6" ht="25.5" customHeight="1">
      <c r="B73" s="167" t="s">
        <v>336</v>
      </c>
      <c r="C73" s="173">
        <f>37636/$C$27</f>
        <v>49091.317561461969</v>
      </c>
    </row>
    <row r="74" spans="2:6">
      <c r="B74" s="1" t="s">
        <v>525</v>
      </c>
    </row>
    <row r="75" spans="2:6">
      <c r="B75" s="1"/>
    </row>
    <row r="76" spans="2:6" ht="22.5" customHeight="1">
      <c r="B76" s="167" t="s">
        <v>355</v>
      </c>
      <c r="C76" s="882" t="s">
        <v>337</v>
      </c>
      <c r="D76" s="882"/>
      <c r="E76" s="882"/>
      <c r="F76" s="882"/>
    </row>
    <row r="77" spans="2:6" ht="36" customHeight="1">
      <c r="B77" s="191" t="s">
        <v>316</v>
      </c>
      <c r="C77" s="194" t="s">
        <v>338</v>
      </c>
      <c r="D77" s="194" t="s">
        <v>339</v>
      </c>
      <c r="E77" s="194" t="s">
        <v>340</v>
      </c>
      <c r="F77" s="195" t="s">
        <v>343</v>
      </c>
    </row>
    <row r="78" spans="2:6">
      <c r="B78" s="164" t="s">
        <v>341</v>
      </c>
      <c r="C78" s="173">
        <f>97/$C$27</f>
        <v>126.52401433366487</v>
      </c>
      <c r="D78" s="174">
        <f>424/$C$27</f>
        <v>553.05342347911244</v>
      </c>
      <c r="E78" s="174">
        <f>248/$C$27</f>
        <v>323.48407788400914</v>
      </c>
      <c r="F78" s="174">
        <f>1312/$C$27</f>
        <v>1711.3351217089516</v>
      </c>
    </row>
    <row r="79" spans="2:6">
      <c r="B79" s="164" t="s">
        <v>342</v>
      </c>
      <c r="C79" s="173">
        <f>195/$C$27</f>
        <v>254.3523999491201</v>
      </c>
      <c r="D79" s="174">
        <f>773/$C$27</f>
        <v>1008.2790008239479</v>
      </c>
      <c r="E79" s="174">
        <f>495/$C$27</f>
        <v>645.66378448622788</v>
      </c>
      <c r="F79" s="174">
        <f>2623/$C$27</f>
        <v>3421.3658721361126</v>
      </c>
    </row>
    <row r="80" spans="2:6">
      <c r="B80" s="1" t="s">
        <v>524</v>
      </c>
    </row>
    <row r="81" spans="2:7">
      <c r="B81" s="1"/>
    </row>
    <row r="82" spans="2:7" ht="22.5" customHeight="1">
      <c r="B82" s="167" t="s">
        <v>358</v>
      </c>
      <c r="C82" s="882" t="s">
        <v>344</v>
      </c>
      <c r="D82" s="882"/>
      <c r="E82" s="882"/>
    </row>
    <row r="83" spans="2:7" ht="36" customHeight="1">
      <c r="B83" s="193" t="s">
        <v>316</v>
      </c>
      <c r="C83" s="194" t="s">
        <v>345</v>
      </c>
      <c r="D83" s="195" t="s">
        <v>356</v>
      </c>
      <c r="E83" s="195" t="s">
        <v>357</v>
      </c>
    </row>
    <row r="84" spans="2:7">
      <c r="B84" s="164" t="s">
        <v>341</v>
      </c>
      <c r="C84" s="165">
        <f>1689/$C$27</f>
        <v>2203.0830949439169</v>
      </c>
      <c r="D84" s="166">
        <f>106/$C$27</f>
        <v>138.26335586977811</v>
      </c>
      <c r="E84" s="166">
        <f>66/$C$27</f>
        <v>86.088504598163723</v>
      </c>
    </row>
    <row r="85" spans="2:7">
      <c r="B85" s="164" t="s">
        <v>342</v>
      </c>
      <c r="C85" s="165">
        <f>3378/$C$27</f>
        <v>4406.1661898878338</v>
      </c>
      <c r="D85" s="166">
        <f>212/$C$27</f>
        <v>276.52671173955622</v>
      </c>
      <c r="E85" s="166">
        <f>66/$C$27</f>
        <v>86.088504598163723</v>
      </c>
    </row>
    <row r="86" spans="2:7">
      <c r="B86" s="1" t="s">
        <v>523</v>
      </c>
    </row>
    <row r="87" spans="2:7">
      <c r="B87" s="1"/>
    </row>
    <row r="88" spans="2:7" ht="25.5" customHeight="1">
      <c r="B88" s="882" t="s">
        <v>359</v>
      </c>
      <c r="C88" s="882"/>
      <c r="D88" s="882"/>
      <c r="E88" s="882" t="s">
        <v>346</v>
      </c>
      <c r="F88" s="882"/>
      <c r="G88" s="882"/>
    </row>
    <row r="89" spans="2:7" ht="45">
      <c r="B89" s="187" t="s">
        <v>347</v>
      </c>
      <c r="C89" s="187" t="s">
        <v>348</v>
      </c>
      <c r="D89" s="187" t="s">
        <v>349</v>
      </c>
      <c r="E89" s="187" t="s">
        <v>350</v>
      </c>
      <c r="F89" s="187" t="s">
        <v>351</v>
      </c>
      <c r="G89" s="187" t="s">
        <v>352</v>
      </c>
    </row>
    <row r="90" spans="2:7">
      <c r="B90" s="165">
        <f>1617/$C$27</f>
        <v>2109.1683626550112</v>
      </c>
      <c r="C90" s="166">
        <f>8004/$C$27</f>
        <v>10440.187739450037</v>
      </c>
      <c r="D90" s="166">
        <f>23015/$C$27</f>
        <v>30020.105050405124</v>
      </c>
      <c r="E90" s="166">
        <f>2028/$C$27</f>
        <v>2645.2649594708491</v>
      </c>
      <c r="F90" s="166">
        <f>2232/$C$27</f>
        <v>2911.356700956082</v>
      </c>
      <c r="G90" s="166">
        <f>3555/$C$27</f>
        <v>4637.0399067647277</v>
      </c>
    </row>
    <row r="91" spans="2:7">
      <c r="B91" s="1" t="s">
        <v>522</v>
      </c>
    </row>
    <row r="92" spans="2:7">
      <c r="B92" s="1"/>
    </row>
    <row r="93" spans="2:7" ht="15" customHeight="1">
      <c r="B93" s="882" t="s">
        <v>361</v>
      </c>
      <c r="C93" s="882"/>
      <c r="D93" s="882"/>
    </row>
    <row r="94" spans="2:7" ht="24" customHeight="1">
      <c r="B94" s="187" t="s">
        <v>353</v>
      </c>
      <c r="C94" s="192" t="s">
        <v>360</v>
      </c>
      <c r="D94" s="187" t="s">
        <v>354</v>
      </c>
    </row>
    <row r="95" spans="2:7">
      <c r="B95" s="165">
        <f>2027/$C$27</f>
        <v>2643.9605881890584</v>
      </c>
      <c r="C95" s="166">
        <f>4287/$C$27</f>
        <v>5591.839685035271</v>
      </c>
      <c r="D95" s="166">
        <f>6527/$C$27</f>
        <v>8513.6313562456762</v>
      </c>
    </row>
    <row r="96" spans="2:7">
      <c r="B96" s="1" t="s">
        <v>521</v>
      </c>
    </row>
    <row r="98" spans="2:5" ht="25.5" customHeight="1">
      <c r="B98" s="167" t="s">
        <v>366</v>
      </c>
      <c r="C98" s="882" t="s">
        <v>362</v>
      </c>
      <c r="D98" s="882"/>
      <c r="E98" s="882" t="s">
        <v>363</v>
      </c>
    </row>
    <row r="99" spans="2:5" ht="12.75" customHeight="1">
      <c r="B99" s="191" t="s">
        <v>316</v>
      </c>
      <c r="C99" s="187" t="s">
        <v>364</v>
      </c>
      <c r="D99" s="187" t="s">
        <v>365</v>
      </c>
      <c r="E99" s="882"/>
    </row>
    <row r="100" spans="2:5">
      <c r="B100" s="164" t="s">
        <v>320</v>
      </c>
      <c r="C100" s="165">
        <f>7396/$C$27</f>
        <v>9647.1300001214986</v>
      </c>
      <c r="D100" s="166">
        <f>2568/$C$27</f>
        <v>3349.625451637643</v>
      </c>
      <c r="E100" s="166">
        <f>229/$C$27</f>
        <v>298.70102352999231</v>
      </c>
    </row>
    <row r="101" spans="2:5">
      <c r="B101" s="164" t="s">
        <v>321</v>
      </c>
      <c r="C101" s="165">
        <f>14791/$C$27</f>
        <v>19292.955628961205</v>
      </c>
      <c r="D101" s="166">
        <f>5135/$C$27</f>
        <v>6697.9465319934952</v>
      </c>
      <c r="E101" s="166">
        <f>458/$C$27</f>
        <v>597.40204705998462</v>
      </c>
    </row>
    <row r="102" spans="2:5">
      <c r="B102" s="164" t="s">
        <v>322</v>
      </c>
      <c r="C102" s="165">
        <f>6326/$C$27</f>
        <v>8251.4527286058128</v>
      </c>
      <c r="D102" s="166">
        <f>2289/$C$27</f>
        <v>2985.7058640181326</v>
      </c>
      <c r="E102" s="166">
        <f>204/$C$27</f>
        <v>266.09174148523334</v>
      </c>
    </row>
    <row r="103" spans="2:5">
      <c r="B103" s="164" t="s">
        <v>323</v>
      </c>
      <c r="C103" s="165">
        <f>12653/$C$27</f>
        <v>16504.209828493418</v>
      </c>
      <c r="D103" s="166">
        <f>4578/$C$27</f>
        <v>5971.4117280362652</v>
      </c>
      <c r="E103" s="166">
        <f>408/$C$27</f>
        <v>532.18348297046668</v>
      </c>
    </row>
    <row r="104" spans="2:5">
      <c r="B104" s="1" t="s">
        <v>520</v>
      </c>
    </row>
    <row r="106" spans="2:5" ht="25.5" customHeight="1">
      <c r="B106" s="167" t="s">
        <v>369</v>
      </c>
      <c r="C106" s="882" t="s">
        <v>367</v>
      </c>
      <c r="D106" s="882"/>
      <c r="E106" s="882" t="s">
        <v>368</v>
      </c>
    </row>
    <row r="107" spans="2:5" ht="17.25" customHeight="1">
      <c r="B107" s="191" t="s">
        <v>325</v>
      </c>
      <c r="C107" s="187" t="s">
        <v>364</v>
      </c>
      <c r="D107" s="187" t="s">
        <v>365</v>
      </c>
      <c r="E107" s="882"/>
    </row>
    <row r="108" spans="2:5">
      <c r="B108" s="164" t="s">
        <v>327</v>
      </c>
      <c r="C108" s="165">
        <f>25186/$C$27</f>
        <v>32851.895103171992</v>
      </c>
      <c r="D108" s="166">
        <f>12979/$C$27</f>
        <v>16929.434866357074</v>
      </c>
      <c r="E108" s="166">
        <f>6192/$C$27</f>
        <v>8076.666976845906</v>
      </c>
    </row>
    <row r="109" spans="2:5">
      <c r="B109" s="164" t="s">
        <v>328</v>
      </c>
      <c r="C109" s="165">
        <f>21016/$C$27</f>
        <v>27412.666858106193</v>
      </c>
      <c r="D109" s="166">
        <f>7624/$C$27</f>
        <v>9944.526652369701</v>
      </c>
      <c r="E109" s="166">
        <f>5520/$C$27</f>
        <v>7200.1294754827841</v>
      </c>
    </row>
    <row r="110" spans="2:5">
      <c r="B110" s="1" t="s">
        <v>519</v>
      </c>
    </row>
    <row r="112" spans="2:5" ht="17.25" customHeight="1">
      <c r="B112" s="891" t="s">
        <v>6</v>
      </c>
      <c r="C112" s="891"/>
      <c r="E112" s="2" t="s">
        <v>121</v>
      </c>
    </row>
    <row r="113" spans="2:6">
      <c r="B113" s="33" t="s">
        <v>81</v>
      </c>
      <c r="C113" s="87">
        <v>0.9</v>
      </c>
      <c r="E113" s="2" t="s">
        <v>122</v>
      </c>
    </row>
    <row r="114" spans="2:6">
      <c r="B114" s="3" t="s">
        <v>119</v>
      </c>
      <c r="C114" s="88">
        <v>0.5</v>
      </c>
    </row>
    <row r="115" spans="2:6">
      <c r="B115" s="3" t="s">
        <v>117</v>
      </c>
      <c r="C115" s="88">
        <v>0.6</v>
      </c>
    </row>
    <row r="116" spans="2:6">
      <c r="B116" s="3" t="s">
        <v>82</v>
      </c>
      <c r="C116" s="88">
        <v>1</v>
      </c>
    </row>
    <row r="117" spans="2:6">
      <c r="B117" s="1" t="s">
        <v>118</v>
      </c>
      <c r="C117" s="89"/>
    </row>
    <row r="118" spans="2:6">
      <c r="B118" s="1"/>
      <c r="C118" s="89"/>
    </row>
    <row r="119" spans="2:6" ht="17.25" customHeight="1">
      <c r="B119" s="171" t="s">
        <v>120</v>
      </c>
      <c r="C119" s="18">
        <v>0.9</v>
      </c>
      <c r="E119" s="2" t="s">
        <v>123</v>
      </c>
    </row>
    <row r="120" spans="2:6">
      <c r="B120" s="1" t="s">
        <v>118</v>
      </c>
    </row>
    <row r="122" spans="2:6" ht="34.5" customHeight="1">
      <c r="B122" s="177" t="s">
        <v>84</v>
      </c>
      <c r="C122" s="160" t="s">
        <v>285</v>
      </c>
      <c r="D122" s="160" t="s">
        <v>85</v>
      </c>
      <c r="E122" s="160" t="s">
        <v>86</v>
      </c>
    </row>
    <row r="123" spans="2:6">
      <c r="B123" s="3" t="s">
        <v>126</v>
      </c>
      <c r="C123" s="73">
        <v>7.2999999999999995E-2</v>
      </c>
      <c r="D123" s="73">
        <v>0.24399999999999999</v>
      </c>
      <c r="E123" s="73">
        <v>0.68300000000000005</v>
      </c>
      <c r="F123" s="74">
        <f>SUM(C123:E123)</f>
        <v>1</v>
      </c>
    </row>
    <row r="124" spans="2:6">
      <c r="B124" s="3" t="s">
        <v>93</v>
      </c>
      <c r="C124" s="73">
        <v>3.6999999999999998E-2</v>
      </c>
      <c r="D124" s="73">
        <v>0.33800000000000002</v>
      </c>
      <c r="E124" s="73">
        <v>0.625</v>
      </c>
      <c r="F124" s="74">
        <f t="shared" ref="F124:F126" si="0">SUM(C124:E124)</f>
        <v>1</v>
      </c>
    </row>
    <row r="125" spans="2:6">
      <c r="B125" s="3" t="s">
        <v>87</v>
      </c>
      <c r="C125" s="73">
        <v>3.7999999999999999E-2</v>
      </c>
      <c r="D125" s="73">
        <v>0.39200000000000002</v>
      </c>
      <c r="E125" s="73">
        <v>0.56999999999999995</v>
      </c>
      <c r="F125" s="74">
        <f t="shared" si="0"/>
        <v>1</v>
      </c>
    </row>
    <row r="126" spans="2:6">
      <c r="B126" s="3" t="s">
        <v>127</v>
      </c>
      <c r="C126" s="73">
        <v>4.2999999999999997E-2</v>
      </c>
      <c r="D126" s="73">
        <v>0.25600000000000001</v>
      </c>
      <c r="E126" s="73">
        <v>0.70099999999999996</v>
      </c>
      <c r="F126" s="74">
        <f t="shared" si="0"/>
        <v>1</v>
      </c>
    </row>
    <row r="127" spans="2:6">
      <c r="B127" s="1" t="s">
        <v>92</v>
      </c>
    </row>
    <row r="129" spans="2:45" ht="17.25" customHeight="1">
      <c r="B129" s="178" t="s">
        <v>134</v>
      </c>
      <c r="C129" s="159">
        <v>2021</v>
      </c>
      <c r="D129" s="159">
        <v>2022</v>
      </c>
      <c r="E129" s="159">
        <v>2023</v>
      </c>
      <c r="F129" s="159">
        <v>2024</v>
      </c>
      <c r="G129" s="159">
        <v>2025</v>
      </c>
      <c r="H129" s="159">
        <v>2026</v>
      </c>
      <c r="I129" s="159">
        <v>2027</v>
      </c>
      <c r="J129" s="159">
        <v>2028</v>
      </c>
      <c r="K129" s="159">
        <v>2029</v>
      </c>
      <c r="L129" s="159">
        <v>2030</v>
      </c>
      <c r="M129" s="159">
        <v>2031</v>
      </c>
      <c r="N129" s="159">
        <v>2032</v>
      </c>
      <c r="O129" s="159">
        <v>2033</v>
      </c>
      <c r="P129" s="159">
        <v>2034</v>
      </c>
      <c r="Q129" s="159">
        <v>2035</v>
      </c>
      <c r="R129" s="159">
        <v>2036</v>
      </c>
      <c r="S129" s="159">
        <v>2037</v>
      </c>
      <c r="T129" s="159">
        <v>2038</v>
      </c>
      <c r="U129" s="159">
        <v>2039</v>
      </c>
      <c r="V129" s="159">
        <v>2040</v>
      </c>
      <c r="W129" s="159">
        <v>2041</v>
      </c>
      <c r="X129" s="159">
        <v>2042</v>
      </c>
      <c r="Y129" s="159">
        <v>2043</v>
      </c>
      <c r="Z129" s="159">
        <v>2044</v>
      </c>
      <c r="AA129" s="159">
        <v>2045</v>
      </c>
      <c r="AB129" s="159">
        <v>2046</v>
      </c>
      <c r="AC129" s="159">
        <v>2047</v>
      </c>
      <c r="AD129" s="159">
        <v>2048</v>
      </c>
      <c r="AE129" s="159">
        <v>2049</v>
      </c>
      <c r="AF129" s="159">
        <v>2050</v>
      </c>
      <c r="AG129" s="159">
        <v>2051</v>
      </c>
      <c r="AH129" s="159">
        <v>2052</v>
      </c>
      <c r="AI129" s="159">
        <v>2053</v>
      </c>
      <c r="AJ129" s="159">
        <v>2054</v>
      </c>
      <c r="AK129" s="159">
        <v>2055</v>
      </c>
      <c r="AL129" s="159">
        <v>2056</v>
      </c>
      <c r="AM129" s="159">
        <v>2057</v>
      </c>
      <c r="AN129" s="159">
        <v>2058</v>
      </c>
      <c r="AO129" s="159">
        <v>2059</v>
      </c>
      <c r="AP129" s="159">
        <v>2060</v>
      </c>
      <c r="AQ129" s="159">
        <v>2061</v>
      </c>
      <c r="AR129" s="159">
        <v>2062</v>
      </c>
      <c r="AS129" s="159">
        <v>2063</v>
      </c>
    </row>
    <row r="130" spans="2:45">
      <c r="B130" s="68" t="s">
        <v>200</v>
      </c>
      <c r="C130" s="53">
        <f>15.71/$C$27</f>
        <v>20.491672836926547</v>
      </c>
      <c r="D130" s="53">
        <f t="shared" ref="D130:AP130" si="1">ROUND(C130*(1+(0.7*D42)),2)</f>
        <v>20.74</v>
      </c>
      <c r="E130" s="53">
        <f t="shared" si="1"/>
        <v>20.92</v>
      </c>
      <c r="F130" s="53">
        <f t="shared" si="1"/>
        <v>21.18</v>
      </c>
      <c r="G130" s="53">
        <f t="shared" si="1"/>
        <v>21.57</v>
      </c>
      <c r="H130" s="53">
        <f t="shared" si="1"/>
        <v>21.86</v>
      </c>
      <c r="I130" s="53">
        <f t="shared" si="1"/>
        <v>22.12</v>
      </c>
      <c r="J130" s="53">
        <f t="shared" si="1"/>
        <v>22.38</v>
      </c>
      <c r="K130" s="53">
        <f t="shared" si="1"/>
        <v>22.65</v>
      </c>
      <c r="L130" s="53">
        <f t="shared" si="1"/>
        <v>22.92</v>
      </c>
      <c r="M130" s="53">
        <f t="shared" si="1"/>
        <v>23.11</v>
      </c>
      <c r="N130" s="53">
        <f t="shared" si="1"/>
        <v>23.3</v>
      </c>
      <c r="O130" s="53">
        <f t="shared" si="1"/>
        <v>23.5</v>
      </c>
      <c r="P130" s="53">
        <f t="shared" si="1"/>
        <v>23.7</v>
      </c>
      <c r="Q130" s="53">
        <f t="shared" si="1"/>
        <v>23.9</v>
      </c>
      <c r="R130" s="53">
        <f t="shared" si="1"/>
        <v>24.1</v>
      </c>
      <c r="S130" s="53">
        <f t="shared" si="1"/>
        <v>24.3</v>
      </c>
      <c r="T130" s="53">
        <f t="shared" si="1"/>
        <v>24.5</v>
      </c>
      <c r="U130" s="53">
        <f t="shared" si="1"/>
        <v>24.71</v>
      </c>
      <c r="V130" s="53">
        <f t="shared" si="1"/>
        <v>24.92</v>
      </c>
      <c r="W130" s="53">
        <f t="shared" si="1"/>
        <v>25.09</v>
      </c>
      <c r="X130" s="53">
        <f t="shared" si="1"/>
        <v>25.27</v>
      </c>
      <c r="Y130" s="53">
        <f t="shared" si="1"/>
        <v>25.45</v>
      </c>
      <c r="Z130" s="53">
        <f t="shared" si="1"/>
        <v>25.63</v>
      </c>
      <c r="AA130" s="53">
        <f t="shared" si="1"/>
        <v>25.81</v>
      </c>
      <c r="AB130" s="53">
        <f t="shared" si="1"/>
        <v>25.99</v>
      </c>
      <c r="AC130" s="53">
        <f t="shared" si="1"/>
        <v>26.17</v>
      </c>
      <c r="AD130" s="53">
        <f t="shared" si="1"/>
        <v>26.35</v>
      </c>
      <c r="AE130" s="53">
        <f t="shared" si="1"/>
        <v>26.53</v>
      </c>
      <c r="AF130" s="53">
        <f t="shared" si="1"/>
        <v>26.72</v>
      </c>
      <c r="AG130" s="53">
        <f t="shared" si="1"/>
        <v>26.96</v>
      </c>
      <c r="AH130" s="53">
        <f t="shared" si="1"/>
        <v>27.21</v>
      </c>
      <c r="AI130" s="53">
        <f t="shared" si="1"/>
        <v>27.46</v>
      </c>
      <c r="AJ130" s="53">
        <f t="shared" si="1"/>
        <v>27.71</v>
      </c>
      <c r="AK130" s="53">
        <f t="shared" si="1"/>
        <v>27.96</v>
      </c>
      <c r="AL130" s="53">
        <f t="shared" si="1"/>
        <v>28.21</v>
      </c>
      <c r="AM130" s="53">
        <f t="shared" si="1"/>
        <v>28.47</v>
      </c>
      <c r="AN130" s="53">
        <f t="shared" si="1"/>
        <v>28.73</v>
      </c>
      <c r="AO130" s="53">
        <f t="shared" si="1"/>
        <v>28.99</v>
      </c>
      <c r="AP130" s="53">
        <f t="shared" si="1"/>
        <v>29.25</v>
      </c>
      <c r="AQ130" s="53">
        <f t="shared" ref="AQ130" si="2">ROUND(AP130*(1+(0.7*AQ42)),2)</f>
        <v>29.52</v>
      </c>
      <c r="AR130" s="53">
        <f t="shared" ref="AR130" si="3">ROUND(AQ130*(1+(0.7*AR42)),2)</f>
        <v>29.79</v>
      </c>
      <c r="AS130" s="53">
        <f t="shared" ref="AS130" si="4">ROUND(AR130*(1+(0.7*AS42)),2)</f>
        <v>30.06</v>
      </c>
    </row>
    <row r="131" spans="2:45">
      <c r="B131" s="52" t="s">
        <v>128</v>
      </c>
      <c r="C131" s="54">
        <f>7.45/$C$27</f>
        <v>9.7175660493381777</v>
      </c>
      <c r="D131" s="54">
        <f>ROUND(C131*(1+(0.5*D42)),2)</f>
        <v>9.8000000000000007</v>
      </c>
      <c r="E131" s="54">
        <f t="shared" ref="E131:AP131" si="5">ROUND(D131*(1+(0.5*E42)),2)</f>
        <v>9.86</v>
      </c>
      <c r="F131" s="54">
        <f t="shared" si="5"/>
        <v>9.9499999999999993</v>
      </c>
      <c r="G131" s="54">
        <f t="shared" si="5"/>
        <v>10.08</v>
      </c>
      <c r="H131" s="54">
        <f t="shared" si="5"/>
        <v>10.18</v>
      </c>
      <c r="I131" s="54">
        <f t="shared" si="5"/>
        <v>10.27</v>
      </c>
      <c r="J131" s="54">
        <f t="shared" si="5"/>
        <v>10.36</v>
      </c>
      <c r="K131" s="54">
        <f t="shared" si="5"/>
        <v>10.45</v>
      </c>
      <c r="L131" s="54">
        <f t="shared" si="5"/>
        <v>10.54</v>
      </c>
      <c r="M131" s="54">
        <f t="shared" si="5"/>
        <v>10.6</v>
      </c>
      <c r="N131" s="54">
        <f t="shared" si="5"/>
        <v>10.66</v>
      </c>
      <c r="O131" s="54">
        <f t="shared" si="5"/>
        <v>10.72</v>
      </c>
      <c r="P131" s="54">
        <f t="shared" si="5"/>
        <v>10.78</v>
      </c>
      <c r="Q131" s="54">
        <f t="shared" si="5"/>
        <v>10.84</v>
      </c>
      <c r="R131" s="54">
        <f t="shared" si="5"/>
        <v>10.91</v>
      </c>
      <c r="S131" s="54">
        <f t="shared" si="5"/>
        <v>10.98</v>
      </c>
      <c r="T131" s="54">
        <f t="shared" si="5"/>
        <v>11.05</v>
      </c>
      <c r="U131" s="54">
        <f t="shared" si="5"/>
        <v>11.12</v>
      </c>
      <c r="V131" s="54">
        <f t="shared" si="5"/>
        <v>11.19</v>
      </c>
      <c r="W131" s="54">
        <f t="shared" si="5"/>
        <v>11.25</v>
      </c>
      <c r="X131" s="54">
        <f>ROUND(W131*(1+(0.5*X42)),2)</f>
        <v>11.31</v>
      </c>
      <c r="Y131" s="54">
        <f t="shared" si="5"/>
        <v>11.37</v>
      </c>
      <c r="Z131" s="54">
        <f t="shared" si="5"/>
        <v>11.43</v>
      </c>
      <c r="AA131" s="54">
        <f t="shared" si="5"/>
        <v>11.49</v>
      </c>
      <c r="AB131" s="54">
        <f t="shared" si="5"/>
        <v>11.55</v>
      </c>
      <c r="AC131" s="54">
        <f t="shared" si="5"/>
        <v>11.61</v>
      </c>
      <c r="AD131" s="54">
        <f t="shared" si="5"/>
        <v>11.67</v>
      </c>
      <c r="AE131" s="54">
        <f t="shared" si="5"/>
        <v>11.73</v>
      </c>
      <c r="AF131" s="54">
        <f t="shared" si="5"/>
        <v>11.79</v>
      </c>
      <c r="AG131" s="54">
        <f t="shared" si="5"/>
        <v>11.87</v>
      </c>
      <c r="AH131" s="54">
        <f t="shared" si="5"/>
        <v>11.95</v>
      </c>
      <c r="AI131" s="54">
        <f t="shared" si="5"/>
        <v>12.03</v>
      </c>
      <c r="AJ131" s="54">
        <f t="shared" si="5"/>
        <v>12.11</v>
      </c>
      <c r="AK131" s="54">
        <f t="shared" si="5"/>
        <v>12.19</v>
      </c>
      <c r="AL131" s="54">
        <f t="shared" si="5"/>
        <v>12.27</v>
      </c>
      <c r="AM131" s="54">
        <f t="shared" si="5"/>
        <v>12.35</v>
      </c>
      <c r="AN131" s="54">
        <f t="shared" si="5"/>
        <v>12.43</v>
      </c>
      <c r="AO131" s="54">
        <f t="shared" si="5"/>
        <v>12.51</v>
      </c>
      <c r="AP131" s="54">
        <f t="shared" si="5"/>
        <v>12.59</v>
      </c>
      <c r="AQ131" s="54">
        <f t="shared" ref="AQ131" si="6">ROUND(AP131*(1+(0.5*AQ42)),2)</f>
        <v>12.67</v>
      </c>
      <c r="AR131" s="54">
        <f t="shared" ref="AR131" si="7">ROUND(AQ131*(1+(0.5*AR42)),2)</f>
        <v>12.75</v>
      </c>
      <c r="AS131" s="54">
        <f t="shared" ref="AS131" si="8">ROUND(AR131*(1+(0.5*AS42)),2)</f>
        <v>12.83</v>
      </c>
    </row>
    <row r="132" spans="2:45">
      <c r="B132" s="69" t="s">
        <v>129</v>
      </c>
      <c r="C132" s="54">
        <f>4.86/$C$27</f>
        <v>6.3392444295011474</v>
      </c>
      <c r="D132" s="54">
        <f t="shared" ref="D132:AP132" si="9">ROUND(C132*(1+(0.5*D42)),2)</f>
        <v>6.39</v>
      </c>
      <c r="E132" s="54">
        <f t="shared" si="9"/>
        <v>6.43</v>
      </c>
      <c r="F132" s="54">
        <f t="shared" si="9"/>
        <v>6.49</v>
      </c>
      <c r="G132" s="54">
        <f t="shared" si="9"/>
        <v>6.58</v>
      </c>
      <c r="H132" s="54">
        <f t="shared" si="9"/>
        <v>6.64</v>
      </c>
      <c r="I132" s="54">
        <f t="shared" si="9"/>
        <v>6.7</v>
      </c>
      <c r="J132" s="54">
        <f t="shared" si="9"/>
        <v>6.76</v>
      </c>
      <c r="K132" s="54">
        <f t="shared" si="9"/>
        <v>6.82</v>
      </c>
      <c r="L132" s="54">
        <f t="shared" si="9"/>
        <v>6.88</v>
      </c>
      <c r="M132" s="54">
        <f t="shared" si="9"/>
        <v>6.92</v>
      </c>
      <c r="N132" s="54">
        <f t="shared" si="9"/>
        <v>6.96</v>
      </c>
      <c r="O132" s="54">
        <f t="shared" si="9"/>
        <v>7</v>
      </c>
      <c r="P132" s="54">
        <f t="shared" si="9"/>
        <v>7.04</v>
      </c>
      <c r="Q132" s="54">
        <f t="shared" si="9"/>
        <v>7.08</v>
      </c>
      <c r="R132" s="54">
        <f t="shared" si="9"/>
        <v>7.12</v>
      </c>
      <c r="S132" s="54">
        <f t="shared" si="9"/>
        <v>7.16</v>
      </c>
      <c r="T132" s="54">
        <f t="shared" si="9"/>
        <v>7.2</v>
      </c>
      <c r="U132" s="54">
        <f t="shared" si="9"/>
        <v>7.24</v>
      </c>
      <c r="V132" s="54">
        <f t="shared" si="9"/>
        <v>7.28</v>
      </c>
      <c r="W132" s="54">
        <f t="shared" si="9"/>
        <v>7.32</v>
      </c>
      <c r="X132" s="54">
        <f t="shared" si="9"/>
        <v>7.36</v>
      </c>
      <c r="Y132" s="54">
        <f t="shared" si="9"/>
        <v>7.4</v>
      </c>
      <c r="Z132" s="54">
        <f t="shared" si="9"/>
        <v>7.44</v>
      </c>
      <c r="AA132" s="54">
        <f t="shared" si="9"/>
        <v>7.48</v>
      </c>
      <c r="AB132" s="54">
        <f t="shared" si="9"/>
        <v>7.52</v>
      </c>
      <c r="AC132" s="54">
        <f t="shared" si="9"/>
        <v>7.56</v>
      </c>
      <c r="AD132" s="54">
        <f t="shared" si="9"/>
        <v>7.6</v>
      </c>
      <c r="AE132" s="54">
        <f t="shared" si="9"/>
        <v>7.64</v>
      </c>
      <c r="AF132" s="54">
        <f t="shared" si="9"/>
        <v>7.68</v>
      </c>
      <c r="AG132" s="54">
        <f t="shared" si="9"/>
        <v>7.73</v>
      </c>
      <c r="AH132" s="54">
        <f t="shared" si="9"/>
        <v>7.78</v>
      </c>
      <c r="AI132" s="54">
        <f t="shared" si="9"/>
        <v>7.83</v>
      </c>
      <c r="AJ132" s="54">
        <f t="shared" si="9"/>
        <v>7.88</v>
      </c>
      <c r="AK132" s="54">
        <f t="shared" si="9"/>
        <v>7.93</v>
      </c>
      <c r="AL132" s="54">
        <f t="shared" si="9"/>
        <v>7.98</v>
      </c>
      <c r="AM132" s="54">
        <f t="shared" si="9"/>
        <v>8.0299999999999994</v>
      </c>
      <c r="AN132" s="54">
        <f t="shared" si="9"/>
        <v>8.08</v>
      </c>
      <c r="AO132" s="54">
        <f t="shared" si="9"/>
        <v>8.1300000000000008</v>
      </c>
      <c r="AP132" s="54">
        <f t="shared" si="9"/>
        <v>8.18</v>
      </c>
      <c r="AQ132" s="54">
        <f t="shared" ref="AQ132" si="10">ROUND(AP132*(1+(0.5*AQ42)),2)</f>
        <v>8.23</v>
      </c>
      <c r="AR132" s="54">
        <f t="shared" ref="AR132" si="11">ROUND(AQ132*(1+(0.5*AR42)),2)</f>
        <v>8.2799999999999994</v>
      </c>
      <c r="AS132" s="54">
        <f t="shared" ref="AS132" si="12">ROUND(AR132*(1+(0.5*AS42)),2)</f>
        <v>8.33</v>
      </c>
    </row>
    <row r="133" spans="2:45">
      <c r="B133" s="1" t="s">
        <v>518</v>
      </c>
    </row>
    <row r="134" spans="2:45">
      <c r="B134" s="1"/>
    </row>
    <row r="135" spans="2:45" ht="17.25" customHeight="1">
      <c r="B135" s="178" t="s">
        <v>130</v>
      </c>
      <c r="C135" s="159" t="s">
        <v>133</v>
      </c>
    </row>
    <row r="136" spans="2:45">
      <c r="B136" s="68" t="s">
        <v>131</v>
      </c>
      <c r="C136" s="53">
        <f>0/$C$27</f>
        <v>0</v>
      </c>
    </row>
    <row r="137" spans="2:45">
      <c r="B137" s="52" t="s">
        <v>132</v>
      </c>
      <c r="C137" s="54">
        <f>0.2/$C$27</f>
        <v>0.26087425635807188</v>
      </c>
      <c r="E137" s="2" t="s">
        <v>150</v>
      </c>
    </row>
    <row r="138" spans="2:45">
      <c r="B138" s="1" t="s">
        <v>517</v>
      </c>
    </row>
    <row r="139" spans="2:45">
      <c r="B139" s="1"/>
    </row>
    <row r="140" spans="2:45" ht="22.5" customHeight="1">
      <c r="B140" s="167" t="s">
        <v>387</v>
      </c>
      <c r="C140" s="882" t="s">
        <v>371</v>
      </c>
      <c r="D140" s="882"/>
      <c r="F140" s="2" t="s">
        <v>150</v>
      </c>
    </row>
    <row r="141" spans="2:45" ht="12.75" customHeight="1">
      <c r="B141" s="190" t="s">
        <v>370</v>
      </c>
      <c r="C141" s="188" t="s">
        <v>372</v>
      </c>
      <c r="D141" s="187" t="s">
        <v>373</v>
      </c>
    </row>
    <row r="142" spans="2:45">
      <c r="B142" s="164" t="s">
        <v>374</v>
      </c>
      <c r="C142" s="54">
        <f>3.39/$C$27</f>
        <v>4.4218186452693189</v>
      </c>
      <c r="D142" s="179">
        <f>114.57/$C$27</f>
        <v>149.44181775472148</v>
      </c>
    </row>
    <row r="143" spans="2:45">
      <c r="B143" s="164" t="s">
        <v>375</v>
      </c>
      <c r="C143" s="54">
        <f>4.31/$C$27</f>
        <v>5.6218402245164487</v>
      </c>
      <c r="D143" s="179">
        <f>140.48/$C$27</f>
        <v>183.23807766590969</v>
      </c>
    </row>
    <row r="144" spans="2:45">
      <c r="B144" s="164" t="s">
        <v>376</v>
      </c>
      <c r="C144" s="54">
        <f>6.9/$C$27</f>
        <v>9.0001618443534799</v>
      </c>
      <c r="D144" s="179">
        <f>206.52/$C$27</f>
        <v>269.37875711534502</v>
      </c>
    </row>
    <row r="145" spans="2:9">
      <c r="B145" s="164" t="s">
        <v>377</v>
      </c>
      <c r="C145" s="54">
        <f>4.24/$C$27</f>
        <v>5.5305342347911246</v>
      </c>
      <c r="D145" s="179">
        <f>136.89/$C$27</f>
        <v>178.55538476428228</v>
      </c>
    </row>
    <row r="146" spans="2:9">
      <c r="B146" s="164" t="s">
        <v>378</v>
      </c>
      <c r="C146" s="54">
        <f>5.22/$C$27</f>
        <v>6.8088180909456755</v>
      </c>
      <c r="D146" s="179">
        <f>141.46/$C$27</f>
        <v>184.51636152206424</v>
      </c>
    </row>
    <row r="147" spans="2:9">
      <c r="B147" s="164" t="s">
        <v>379</v>
      </c>
      <c r="C147" s="54">
        <f>3/$C$27</f>
        <v>3.9131138453710781</v>
      </c>
      <c r="D147" s="179">
        <f>97.85/$C$27</f>
        <v>127.63272992318666</v>
      </c>
    </row>
    <row r="148" spans="2:9">
      <c r="B148" s="1" t="s">
        <v>516</v>
      </c>
    </row>
    <row r="150" spans="2:9" ht="22.5" customHeight="1">
      <c r="B150" s="167" t="s">
        <v>386</v>
      </c>
      <c r="C150" s="882" t="s">
        <v>381</v>
      </c>
      <c r="D150" s="882"/>
      <c r="E150" s="882" t="s">
        <v>382</v>
      </c>
      <c r="F150" s="882"/>
      <c r="H150" s="2" t="s">
        <v>150</v>
      </c>
    </row>
    <row r="151" spans="2:9" ht="12.75" customHeight="1">
      <c r="B151" s="190" t="s">
        <v>380</v>
      </c>
      <c r="C151" s="187" t="s">
        <v>372</v>
      </c>
      <c r="D151" s="187" t="s">
        <v>373</v>
      </c>
      <c r="E151" s="187" t="s">
        <v>372</v>
      </c>
      <c r="F151" s="187" t="s">
        <v>373</v>
      </c>
    </row>
    <row r="152" spans="2:9">
      <c r="B152" s="164" t="s">
        <v>383</v>
      </c>
      <c r="C152" s="180">
        <f>5.59/$C$27</f>
        <v>7.2914354652081093</v>
      </c>
      <c r="D152" s="172">
        <f>375/$C$27</f>
        <v>489.13923067138478</v>
      </c>
      <c r="E152" s="180">
        <f>3.12/$C$27</f>
        <v>4.069638399185922</v>
      </c>
      <c r="F152" s="172">
        <f>336/$C$27</f>
        <v>438.26875068156079</v>
      </c>
    </row>
    <row r="153" spans="2:9">
      <c r="B153" s="164" t="s">
        <v>384</v>
      </c>
      <c r="C153" s="180">
        <f>5.59/$C$27</f>
        <v>7.2914354652081093</v>
      </c>
      <c r="D153" s="172">
        <f>459/$C$27</f>
        <v>598.70641834177502</v>
      </c>
      <c r="E153" s="180">
        <f>3.12/$C$27</f>
        <v>4.069638399185922</v>
      </c>
      <c r="F153" s="172">
        <f>397/$C$27</f>
        <v>517.83539887077268</v>
      </c>
    </row>
    <row r="154" spans="2:9">
      <c r="B154" s="164" t="s">
        <v>385</v>
      </c>
      <c r="C154" s="180">
        <f>5.59/$C$27</f>
        <v>7.2914354652081093</v>
      </c>
      <c r="D154" s="172">
        <f>404/$C$27</f>
        <v>526.96599784330522</v>
      </c>
      <c r="E154" s="180">
        <f>3.12/$C$27</f>
        <v>4.069638399185922</v>
      </c>
      <c r="F154" s="172">
        <f>359/$C$27</f>
        <v>468.26929016273903</v>
      </c>
    </row>
    <row r="155" spans="2:9">
      <c r="B155" s="1" t="s">
        <v>515</v>
      </c>
    </row>
    <row r="157" spans="2:9">
      <c r="B157" s="883" t="s">
        <v>402</v>
      </c>
      <c r="C157" s="882" t="s">
        <v>179</v>
      </c>
      <c r="D157" s="882" t="s">
        <v>370</v>
      </c>
      <c r="E157" s="882"/>
      <c r="F157" s="882"/>
      <c r="G157" s="882"/>
      <c r="H157" s="882"/>
      <c r="I157" s="882"/>
    </row>
    <row r="158" spans="2:9">
      <c r="B158" s="884"/>
      <c r="C158" s="882"/>
      <c r="D158" s="187" t="s">
        <v>389</v>
      </c>
      <c r="E158" s="187" t="s">
        <v>389</v>
      </c>
      <c r="F158" s="187" t="s">
        <v>389</v>
      </c>
      <c r="G158" s="187" t="s">
        <v>305</v>
      </c>
      <c r="H158" s="187" t="s">
        <v>389</v>
      </c>
      <c r="I158" s="187" t="s">
        <v>392</v>
      </c>
    </row>
    <row r="159" spans="2:9" ht="22.5">
      <c r="B159" s="191" t="s">
        <v>388</v>
      </c>
      <c r="C159" s="882"/>
      <c r="D159" s="187" t="s">
        <v>390</v>
      </c>
      <c r="E159" s="187" t="s">
        <v>391</v>
      </c>
      <c r="F159" s="187" t="s">
        <v>400</v>
      </c>
      <c r="G159" s="187" t="s">
        <v>401</v>
      </c>
      <c r="H159" s="187" t="s">
        <v>401</v>
      </c>
      <c r="I159" s="187" t="s">
        <v>393</v>
      </c>
    </row>
    <row r="160" spans="2:9">
      <c r="B160" s="164" t="s">
        <v>394</v>
      </c>
      <c r="C160" s="175" t="s">
        <v>395</v>
      </c>
      <c r="D160" s="181" t="s">
        <v>396</v>
      </c>
      <c r="E160" s="176" t="s">
        <v>396</v>
      </c>
      <c r="F160" s="176" t="s">
        <v>396</v>
      </c>
      <c r="G160" s="183">
        <v>2.6</v>
      </c>
      <c r="H160" s="176" t="s">
        <v>396</v>
      </c>
      <c r="I160" s="183">
        <v>2.4</v>
      </c>
    </row>
    <row r="161" spans="2:9">
      <c r="B161" s="164" t="s">
        <v>397</v>
      </c>
      <c r="C161" s="175" t="s">
        <v>398</v>
      </c>
      <c r="D161" s="182">
        <v>9.9</v>
      </c>
      <c r="E161" s="183">
        <v>10.3</v>
      </c>
      <c r="F161" s="183">
        <v>26</v>
      </c>
      <c r="G161" s="176" t="s">
        <v>396</v>
      </c>
      <c r="H161" s="183">
        <v>12.8</v>
      </c>
      <c r="I161" s="176" t="s">
        <v>396</v>
      </c>
    </row>
    <row r="162" spans="2:9">
      <c r="B162" s="1" t="s">
        <v>403</v>
      </c>
    </row>
    <row r="164" spans="2:9" ht="22.5">
      <c r="B164" s="167" t="s">
        <v>405</v>
      </c>
      <c r="C164" s="157" t="s">
        <v>381</v>
      </c>
      <c r="D164" s="157" t="s">
        <v>382</v>
      </c>
    </row>
    <row r="165" spans="2:9" ht="12.75" customHeight="1">
      <c r="B165" s="190" t="s">
        <v>380</v>
      </c>
      <c r="C165" s="187" t="s">
        <v>395</v>
      </c>
      <c r="D165" s="187" t="s">
        <v>398</v>
      </c>
    </row>
    <row r="166" spans="2:9">
      <c r="B166" s="164" t="s">
        <v>383</v>
      </c>
      <c r="C166" s="211">
        <v>3.1</v>
      </c>
      <c r="D166" s="211">
        <v>11</v>
      </c>
    </row>
    <row r="167" spans="2:9">
      <c r="B167" s="164" t="s">
        <v>384</v>
      </c>
      <c r="C167" s="211">
        <v>3.8</v>
      </c>
      <c r="D167" s="211">
        <v>13.1</v>
      </c>
    </row>
    <row r="168" spans="2:9">
      <c r="B168" s="164" t="s">
        <v>399</v>
      </c>
      <c r="C168" s="211">
        <v>5.9</v>
      </c>
      <c r="D168" s="211">
        <v>20.5</v>
      </c>
    </row>
    <row r="169" spans="2:9">
      <c r="B169" s="164" t="s">
        <v>45</v>
      </c>
      <c r="C169" s="211">
        <v>4.8</v>
      </c>
      <c r="D169" s="211">
        <v>16.7</v>
      </c>
    </row>
    <row r="170" spans="2:9">
      <c r="B170" s="1" t="s">
        <v>404</v>
      </c>
    </row>
    <row r="171" spans="2:9">
      <c r="B171" s="1"/>
    </row>
    <row r="172" spans="2:9" ht="12.75">
      <c r="B172" s="872" t="s">
        <v>406</v>
      </c>
      <c r="C172" s="873"/>
      <c r="D172" s="873"/>
      <c r="E172" s="873"/>
      <c r="F172" s="874"/>
      <c r="G172" s="874"/>
    </row>
    <row r="173" spans="2:9">
      <c r="B173" s="189" t="s">
        <v>116</v>
      </c>
      <c r="C173" s="187" t="s">
        <v>409</v>
      </c>
      <c r="D173" s="187" t="s">
        <v>410</v>
      </c>
      <c r="E173" s="187" t="s">
        <v>411</v>
      </c>
      <c r="F173" s="188" t="s">
        <v>182</v>
      </c>
      <c r="G173" s="188" t="s">
        <v>412</v>
      </c>
    </row>
    <row r="174" spans="2:9">
      <c r="B174" s="56" t="s">
        <v>407</v>
      </c>
      <c r="C174" s="103">
        <v>1.1000000000000001</v>
      </c>
      <c r="D174" s="103">
        <v>63</v>
      </c>
      <c r="E174" s="103">
        <v>0.02</v>
      </c>
      <c r="F174" s="86">
        <v>4.8</v>
      </c>
      <c r="G174" s="86">
        <v>10</v>
      </c>
    </row>
    <row r="175" spans="2:9">
      <c r="B175" s="102" t="s">
        <v>408</v>
      </c>
      <c r="C175" s="103">
        <v>2</v>
      </c>
      <c r="D175" s="103">
        <v>54.4</v>
      </c>
      <c r="E175" s="103">
        <v>0.02</v>
      </c>
      <c r="F175" s="86">
        <v>4.5999999999999996</v>
      </c>
      <c r="G175" s="86">
        <v>10</v>
      </c>
    </row>
    <row r="176" spans="2:9">
      <c r="B176" s="56" t="s">
        <v>393</v>
      </c>
      <c r="C176" s="103">
        <v>1</v>
      </c>
      <c r="D176" s="103">
        <v>39.9</v>
      </c>
      <c r="E176" s="103">
        <v>0.02</v>
      </c>
      <c r="F176" s="86">
        <v>4.7</v>
      </c>
      <c r="G176" s="86">
        <v>10</v>
      </c>
    </row>
    <row r="177" spans="2:43">
      <c r="B177" s="1" t="s">
        <v>413</v>
      </c>
    </row>
    <row r="178" spans="2:43">
      <c r="B178" s="1"/>
    </row>
    <row r="179" spans="2:43" ht="22.5">
      <c r="B179" s="178" t="s">
        <v>192</v>
      </c>
      <c r="C179" s="159">
        <v>2021</v>
      </c>
      <c r="D179" s="159">
        <v>2022</v>
      </c>
      <c r="E179" s="159">
        <v>2023</v>
      </c>
      <c r="F179" s="159">
        <v>2024</v>
      </c>
      <c r="G179" s="159">
        <v>2025</v>
      </c>
      <c r="H179" s="159">
        <v>2026</v>
      </c>
      <c r="I179" s="159">
        <v>2027</v>
      </c>
      <c r="J179" s="159">
        <v>2028</v>
      </c>
      <c r="K179" s="159">
        <v>2029</v>
      </c>
      <c r="L179" s="159">
        <v>2030</v>
      </c>
      <c r="M179" s="159">
        <v>2031</v>
      </c>
      <c r="N179" s="159">
        <v>2032</v>
      </c>
      <c r="O179" s="159">
        <v>2033</v>
      </c>
      <c r="P179" s="159">
        <v>2034</v>
      </c>
      <c r="Q179" s="159">
        <v>2035</v>
      </c>
      <c r="R179" s="159">
        <v>2036</v>
      </c>
      <c r="S179" s="159">
        <v>2037</v>
      </c>
      <c r="T179" s="159">
        <v>2038</v>
      </c>
      <c r="U179" s="159">
        <v>2039</v>
      </c>
      <c r="V179" s="159">
        <v>2040</v>
      </c>
      <c r="W179" s="159">
        <v>2041</v>
      </c>
      <c r="X179" s="159">
        <v>2042</v>
      </c>
      <c r="Y179" s="159">
        <v>2043</v>
      </c>
      <c r="Z179" s="159">
        <v>2044</v>
      </c>
      <c r="AA179" s="159">
        <v>2045</v>
      </c>
      <c r="AB179" s="159">
        <v>2046</v>
      </c>
      <c r="AC179" s="159">
        <v>2047</v>
      </c>
      <c r="AD179" s="159">
        <v>2048</v>
      </c>
      <c r="AE179" s="159">
        <v>2049</v>
      </c>
      <c r="AF179" s="159">
        <v>2050</v>
      </c>
      <c r="AG179" s="159">
        <v>2051</v>
      </c>
      <c r="AH179" s="159">
        <v>2052</v>
      </c>
      <c r="AI179" s="159">
        <v>2053</v>
      </c>
      <c r="AJ179" s="159">
        <v>2054</v>
      </c>
      <c r="AK179" s="159">
        <v>2055</v>
      </c>
      <c r="AL179" s="159">
        <v>2056</v>
      </c>
      <c r="AM179" s="159">
        <v>2057</v>
      </c>
      <c r="AN179" s="159">
        <v>2058</v>
      </c>
      <c r="AO179" s="159">
        <v>2059</v>
      </c>
      <c r="AP179" s="159">
        <v>2060</v>
      </c>
    </row>
    <row r="180" spans="2:43">
      <c r="B180" s="55" t="s">
        <v>193</v>
      </c>
      <c r="C180" s="107">
        <f>67.1/$C$27</f>
        <v>87.523313008133115</v>
      </c>
      <c r="D180" s="107">
        <f t="shared" ref="D180:AP180" si="13">ROUND(C180*(1+(0.7*D42)),2)</f>
        <v>88.58</v>
      </c>
      <c r="E180" s="107">
        <f t="shared" si="13"/>
        <v>89.36</v>
      </c>
      <c r="F180" s="107">
        <f t="shared" si="13"/>
        <v>90.46</v>
      </c>
      <c r="G180" s="107">
        <f t="shared" si="13"/>
        <v>92.14</v>
      </c>
      <c r="H180" s="107">
        <f t="shared" si="13"/>
        <v>93.37</v>
      </c>
      <c r="I180" s="107">
        <f t="shared" si="13"/>
        <v>94.48</v>
      </c>
      <c r="J180" s="107">
        <f t="shared" si="13"/>
        <v>95.6</v>
      </c>
      <c r="K180" s="107">
        <f t="shared" si="13"/>
        <v>96.74</v>
      </c>
      <c r="L180" s="107">
        <f t="shared" si="13"/>
        <v>97.89</v>
      </c>
      <c r="M180" s="107">
        <f t="shared" si="13"/>
        <v>98.71</v>
      </c>
      <c r="N180" s="107">
        <f t="shared" si="13"/>
        <v>99.54</v>
      </c>
      <c r="O180" s="107">
        <f t="shared" si="13"/>
        <v>100.38</v>
      </c>
      <c r="P180" s="107">
        <f t="shared" si="13"/>
        <v>101.22</v>
      </c>
      <c r="Q180" s="107">
        <f t="shared" si="13"/>
        <v>102.07</v>
      </c>
      <c r="R180" s="107">
        <f t="shared" si="13"/>
        <v>102.93</v>
      </c>
      <c r="S180" s="107">
        <f t="shared" si="13"/>
        <v>103.79</v>
      </c>
      <c r="T180" s="107">
        <f t="shared" si="13"/>
        <v>104.66</v>
      </c>
      <c r="U180" s="107">
        <f t="shared" si="13"/>
        <v>105.54</v>
      </c>
      <c r="V180" s="107">
        <f t="shared" si="13"/>
        <v>106.43</v>
      </c>
      <c r="W180" s="107">
        <f t="shared" si="13"/>
        <v>107.18</v>
      </c>
      <c r="X180" s="107">
        <f t="shared" si="13"/>
        <v>107.93</v>
      </c>
      <c r="Y180" s="107">
        <f t="shared" si="13"/>
        <v>108.69</v>
      </c>
      <c r="Z180" s="107">
        <f t="shared" si="13"/>
        <v>109.45</v>
      </c>
      <c r="AA180" s="107">
        <f t="shared" si="13"/>
        <v>110.22</v>
      </c>
      <c r="AB180" s="107">
        <f t="shared" si="13"/>
        <v>110.99</v>
      </c>
      <c r="AC180" s="107">
        <f t="shared" si="13"/>
        <v>111.77</v>
      </c>
      <c r="AD180" s="107">
        <f t="shared" si="13"/>
        <v>112.55</v>
      </c>
      <c r="AE180" s="107">
        <f t="shared" si="13"/>
        <v>113.34</v>
      </c>
      <c r="AF180" s="107">
        <f t="shared" si="13"/>
        <v>114.13</v>
      </c>
      <c r="AG180" s="107">
        <f t="shared" si="13"/>
        <v>115.17</v>
      </c>
      <c r="AH180" s="107">
        <f t="shared" si="13"/>
        <v>116.22</v>
      </c>
      <c r="AI180" s="107">
        <f t="shared" si="13"/>
        <v>117.28</v>
      </c>
      <c r="AJ180" s="107">
        <f t="shared" si="13"/>
        <v>118.35</v>
      </c>
      <c r="AK180" s="107">
        <f t="shared" si="13"/>
        <v>119.43</v>
      </c>
      <c r="AL180" s="107">
        <f t="shared" si="13"/>
        <v>120.52</v>
      </c>
      <c r="AM180" s="107">
        <f t="shared" si="13"/>
        <v>121.62</v>
      </c>
      <c r="AN180" s="107">
        <f t="shared" si="13"/>
        <v>122.73</v>
      </c>
      <c r="AO180" s="107">
        <f t="shared" si="13"/>
        <v>123.85</v>
      </c>
      <c r="AP180" s="107">
        <f t="shared" si="13"/>
        <v>124.98</v>
      </c>
      <c r="AQ180" s="119">
        <f>SUM(C180:AP180)</f>
        <v>4257.8133130081324</v>
      </c>
    </row>
    <row r="181" spans="2:43">
      <c r="B181" s="55" t="s">
        <v>194</v>
      </c>
      <c r="C181" s="107">
        <f>119.4/$C$27</f>
        <v>155.74193104576892</v>
      </c>
      <c r="D181" s="107">
        <f t="shared" ref="D181:AP181" si="14">ROUND(C181*(1+(0.7*D42)),2)</f>
        <v>157.62</v>
      </c>
      <c r="E181" s="107">
        <f t="shared" si="14"/>
        <v>159.02000000000001</v>
      </c>
      <c r="F181" s="107">
        <f t="shared" si="14"/>
        <v>160.97999999999999</v>
      </c>
      <c r="G181" s="107">
        <f t="shared" si="14"/>
        <v>163.97</v>
      </c>
      <c r="H181" s="107">
        <f t="shared" si="14"/>
        <v>166.16</v>
      </c>
      <c r="I181" s="107">
        <f t="shared" si="14"/>
        <v>168.14</v>
      </c>
      <c r="J181" s="107">
        <f t="shared" si="14"/>
        <v>170.14</v>
      </c>
      <c r="K181" s="107">
        <f t="shared" si="14"/>
        <v>172.16</v>
      </c>
      <c r="L181" s="107">
        <f t="shared" si="14"/>
        <v>174.21</v>
      </c>
      <c r="M181" s="107">
        <f t="shared" si="14"/>
        <v>175.67</v>
      </c>
      <c r="N181" s="107">
        <f t="shared" si="14"/>
        <v>177.15</v>
      </c>
      <c r="O181" s="107">
        <f t="shared" si="14"/>
        <v>178.64</v>
      </c>
      <c r="P181" s="107">
        <f t="shared" si="14"/>
        <v>180.14</v>
      </c>
      <c r="Q181" s="107">
        <f t="shared" si="14"/>
        <v>181.65</v>
      </c>
      <c r="R181" s="107">
        <f t="shared" si="14"/>
        <v>183.18</v>
      </c>
      <c r="S181" s="107">
        <f t="shared" si="14"/>
        <v>184.72</v>
      </c>
      <c r="T181" s="107">
        <f t="shared" si="14"/>
        <v>186.27</v>
      </c>
      <c r="U181" s="107">
        <f t="shared" si="14"/>
        <v>187.83</v>
      </c>
      <c r="V181" s="107">
        <f t="shared" si="14"/>
        <v>189.41</v>
      </c>
      <c r="W181" s="107">
        <f t="shared" si="14"/>
        <v>190.74</v>
      </c>
      <c r="X181" s="107">
        <f t="shared" si="14"/>
        <v>192.08</v>
      </c>
      <c r="Y181" s="107">
        <f t="shared" si="14"/>
        <v>193.42</v>
      </c>
      <c r="Z181" s="107">
        <f t="shared" si="14"/>
        <v>194.77</v>
      </c>
      <c r="AA181" s="107">
        <f t="shared" si="14"/>
        <v>196.13</v>
      </c>
      <c r="AB181" s="107">
        <f t="shared" si="14"/>
        <v>197.5</v>
      </c>
      <c r="AC181" s="107">
        <f t="shared" si="14"/>
        <v>198.88</v>
      </c>
      <c r="AD181" s="107">
        <f t="shared" si="14"/>
        <v>200.27</v>
      </c>
      <c r="AE181" s="107">
        <f t="shared" si="14"/>
        <v>201.67</v>
      </c>
      <c r="AF181" s="107">
        <f t="shared" si="14"/>
        <v>203.08</v>
      </c>
      <c r="AG181" s="107">
        <f t="shared" si="14"/>
        <v>204.93</v>
      </c>
      <c r="AH181" s="107">
        <f t="shared" si="14"/>
        <v>206.79</v>
      </c>
      <c r="AI181" s="107">
        <f t="shared" si="14"/>
        <v>208.67</v>
      </c>
      <c r="AJ181" s="107">
        <f t="shared" si="14"/>
        <v>210.57</v>
      </c>
      <c r="AK181" s="107">
        <f t="shared" si="14"/>
        <v>212.49</v>
      </c>
      <c r="AL181" s="107">
        <f t="shared" si="14"/>
        <v>214.42</v>
      </c>
      <c r="AM181" s="107">
        <f t="shared" si="14"/>
        <v>216.37</v>
      </c>
      <c r="AN181" s="107">
        <f t="shared" si="14"/>
        <v>218.34</v>
      </c>
      <c r="AO181" s="107">
        <f t="shared" si="14"/>
        <v>220.33</v>
      </c>
      <c r="AP181" s="107">
        <f t="shared" si="14"/>
        <v>222.34</v>
      </c>
      <c r="AQ181" s="119">
        <f t="shared" ref="AQ181:AQ186" si="15">SUM(C181:AP181)</f>
        <v>7576.5919310457693</v>
      </c>
    </row>
    <row r="182" spans="2:43">
      <c r="B182" s="55" t="s">
        <v>199</v>
      </c>
      <c r="C182" s="107">
        <f>16.7/$C$27</f>
        <v>21.783000405899003</v>
      </c>
      <c r="D182" s="107">
        <f t="shared" ref="D182:AP182" si="16">ROUND(C182*(1+(0.7*D42)),2)</f>
        <v>22.05</v>
      </c>
      <c r="E182" s="107">
        <f t="shared" si="16"/>
        <v>22.25</v>
      </c>
      <c r="F182" s="107">
        <f t="shared" si="16"/>
        <v>22.52</v>
      </c>
      <c r="G182" s="107">
        <f t="shared" si="16"/>
        <v>22.94</v>
      </c>
      <c r="H182" s="107">
        <f t="shared" si="16"/>
        <v>23.25</v>
      </c>
      <c r="I182" s="107">
        <f t="shared" si="16"/>
        <v>23.53</v>
      </c>
      <c r="J182" s="107">
        <f t="shared" si="16"/>
        <v>23.81</v>
      </c>
      <c r="K182" s="107">
        <f t="shared" si="16"/>
        <v>24.09</v>
      </c>
      <c r="L182" s="107">
        <f t="shared" si="16"/>
        <v>24.38</v>
      </c>
      <c r="M182" s="107">
        <f t="shared" si="16"/>
        <v>24.58</v>
      </c>
      <c r="N182" s="107">
        <f t="shared" si="16"/>
        <v>24.79</v>
      </c>
      <c r="O182" s="107">
        <f t="shared" si="16"/>
        <v>25</v>
      </c>
      <c r="P182" s="107">
        <f t="shared" si="16"/>
        <v>25.21</v>
      </c>
      <c r="Q182" s="107">
        <f t="shared" si="16"/>
        <v>25.42</v>
      </c>
      <c r="R182" s="107">
        <f t="shared" si="16"/>
        <v>25.63</v>
      </c>
      <c r="S182" s="107">
        <f t="shared" si="16"/>
        <v>25.85</v>
      </c>
      <c r="T182" s="107">
        <f t="shared" si="16"/>
        <v>26.07</v>
      </c>
      <c r="U182" s="107">
        <f t="shared" si="16"/>
        <v>26.29</v>
      </c>
      <c r="V182" s="107">
        <f t="shared" si="16"/>
        <v>26.51</v>
      </c>
      <c r="W182" s="107">
        <f t="shared" si="16"/>
        <v>26.7</v>
      </c>
      <c r="X182" s="107">
        <f t="shared" si="16"/>
        <v>26.89</v>
      </c>
      <c r="Y182" s="107">
        <f t="shared" si="16"/>
        <v>27.08</v>
      </c>
      <c r="Z182" s="107">
        <f t="shared" si="16"/>
        <v>27.27</v>
      </c>
      <c r="AA182" s="107">
        <f t="shared" si="16"/>
        <v>27.46</v>
      </c>
      <c r="AB182" s="107">
        <f t="shared" si="16"/>
        <v>27.65</v>
      </c>
      <c r="AC182" s="107">
        <f t="shared" si="16"/>
        <v>27.84</v>
      </c>
      <c r="AD182" s="107">
        <f t="shared" si="16"/>
        <v>28.03</v>
      </c>
      <c r="AE182" s="107">
        <f t="shared" si="16"/>
        <v>28.23</v>
      </c>
      <c r="AF182" s="107">
        <f t="shared" si="16"/>
        <v>28.43</v>
      </c>
      <c r="AG182" s="107">
        <f t="shared" si="16"/>
        <v>28.69</v>
      </c>
      <c r="AH182" s="107">
        <f t="shared" si="16"/>
        <v>28.95</v>
      </c>
      <c r="AI182" s="107">
        <f t="shared" si="16"/>
        <v>29.21</v>
      </c>
      <c r="AJ182" s="107">
        <f t="shared" si="16"/>
        <v>29.48</v>
      </c>
      <c r="AK182" s="107">
        <f t="shared" si="16"/>
        <v>29.75</v>
      </c>
      <c r="AL182" s="107">
        <f t="shared" si="16"/>
        <v>30.02</v>
      </c>
      <c r="AM182" s="107">
        <f t="shared" si="16"/>
        <v>30.29</v>
      </c>
      <c r="AN182" s="107">
        <f t="shared" si="16"/>
        <v>30.57</v>
      </c>
      <c r="AO182" s="107">
        <f t="shared" si="16"/>
        <v>30.85</v>
      </c>
      <c r="AP182" s="107">
        <f t="shared" si="16"/>
        <v>31.13</v>
      </c>
      <c r="AQ182" s="119">
        <f t="shared" si="15"/>
        <v>1060.4730004058993</v>
      </c>
    </row>
    <row r="183" spans="2:43">
      <c r="B183" s="55" t="s">
        <v>198</v>
      </c>
      <c r="C183" s="107">
        <f>28.2/$C$27</f>
        <v>36.783270146488135</v>
      </c>
      <c r="D183" s="107">
        <f>ROUND(C183*(1+(0.7*D42)),2)</f>
        <v>37.229999999999997</v>
      </c>
      <c r="E183" s="107">
        <f t="shared" ref="E183:AP183" si="17">ROUND(D183*(1+(0.7*E42)),2)</f>
        <v>37.56</v>
      </c>
      <c r="F183" s="107">
        <f t="shared" si="17"/>
        <v>38.020000000000003</v>
      </c>
      <c r="G183" s="107">
        <f t="shared" si="17"/>
        <v>38.729999999999997</v>
      </c>
      <c r="H183" s="107">
        <f t="shared" si="17"/>
        <v>39.25</v>
      </c>
      <c r="I183" s="107">
        <f t="shared" si="17"/>
        <v>39.72</v>
      </c>
      <c r="J183" s="107">
        <f t="shared" si="17"/>
        <v>40.19</v>
      </c>
      <c r="K183" s="107">
        <f t="shared" si="17"/>
        <v>40.67</v>
      </c>
      <c r="L183" s="107">
        <f t="shared" si="17"/>
        <v>41.15</v>
      </c>
      <c r="M183" s="107">
        <f t="shared" si="17"/>
        <v>41.5</v>
      </c>
      <c r="N183" s="107">
        <f t="shared" si="17"/>
        <v>41.85</v>
      </c>
      <c r="O183" s="107">
        <f t="shared" si="17"/>
        <v>42.2</v>
      </c>
      <c r="P183" s="107">
        <f t="shared" si="17"/>
        <v>42.55</v>
      </c>
      <c r="Q183" s="107">
        <f t="shared" si="17"/>
        <v>42.91</v>
      </c>
      <c r="R183" s="107">
        <f t="shared" si="17"/>
        <v>43.27</v>
      </c>
      <c r="S183" s="107">
        <f t="shared" si="17"/>
        <v>43.63</v>
      </c>
      <c r="T183" s="107">
        <f t="shared" si="17"/>
        <v>44</v>
      </c>
      <c r="U183" s="107">
        <f t="shared" si="17"/>
        <v>44.37</v>
      </c>
      <c r="V183" s="107">
        <f t="shared" si="17"/>
        <v>44.74</v>
      </c>
      <c r="W183" s="107">
        <f t="shared" si="17"/>
        <v>45.05</v>
      </c>
      <c r="X183" s="107">
        <f t="shared" si="17"/>
        <v>45.37</v>
      </c>
      <c r="Y183" s="107">
        <f t="shared" si="17"/>
        <v>45.69</v>
      </c>
      <c r="Z183" s="107">
        <f t="shared" si="17"/>
        <v>46.01</v>
      </c>
      <c r="AA183" s="107">
        <f t="shared" si="17"/>
        <v>46.33</v>
      </c>
      <c r="AB183" s="107">
        <f t="shared" si="17"/>
        <v>46.65</v>
      </c>
      <c r="AC183" s="107">
        <f t="shared" si="17"/>
        <v>46.98</v>
      </c>
      <c r="AD183" s="107">
        <f t="shared" si="17"/>
        <v>47.31</v>
      </c>
      <c r="AE183" s="107">
        <f t="shared" si="17"/>
        <v>47.64</v>
      </c>
      <c r="AF183" s="107">
        <f t="shared" si="17"/>
        <v>47.97</v>
      </c>
      <c r="AG183" s="107">
        <f t="shared" si="17"/>
        <v>48.41</v>
      </c>
      <c r="AH183" s="107">
        <f t="shared" si="17"/>
        <v>48.85</v>
      </c>
      <c r="AI183" s="107">
        <f t="shared" si="17"/>
        <v>49.29</v>
      </c>
      <c r="AJ183" s="107">
        <f t="shared" si="17"/>
        <v>49.74</v>
      </c>
      <c r="AK183" s="107">
        <f t="shared" si="17"/>
        <v>50.19</v>
      </c>
      <c r="AL183" s="107">
        <f t="shared" si="17"/>
        <v>50.65</v>
      </c>
      <c r="AM183" s="107">
        <f t="shared" si="17"/>
        <v>51.11</v>
      </c>
      <c r="AN183" s="107">
        <f t="shared" si="17"/>
        <v>51.58</v>
      </c>
      <c r="AO183" s="107">
        <f t="shared" si="17"/>
        <v>52.05</v>
      </c>
      <c r="AP183" s="107">
        <f t="shared" si="17"/>
        <v>52.52</v>
      </c>
      <c r="AQ183" s="119">
        <f t="shared" si="15"/>
        <v>1789.713270146488</v>
      </c>
    </row>
    <row r="184" spans="2:43">
      <c r="B184" s="55" t="s">
        <v>197</v>
      </c>
      <c r="C184" s="107">
        <f>11.5/$C$27</f>
        <v>15.000269740589133</v>
      </c>
      <c r="D184" s="107">
        <f t="shared" ref="D184:AP184" si="18">ROUND(C184*(1+(0.7*D42)),2)</f>
        <v>15.18</v>
      </c>
      <c r="E184" s="107">
        <f t="shared" si="18"/>
        <v>15.31</v>
      </c>
      <c r="F184" s="107">
        <f t="shared" si="18"/>
        <v>15.5</v>
      </c>
      <c r="G184" s="107">
        <f t="shared" si="18"/>
        <v>15.79</v>
      </c>
      <c r="H184" s="107">
        <f t="shared" si="18"/>
        <v>16</v>
      </c>
      <c r="I184" s="107">
        <f t="shared" si="18"/>
        <v>16.190000000000001</v>
      </c>
      <c r="J184" s="107">
        <f t="shared" si="18"/>
        <v>16.38</v>
      </c>
      <c r="K184" s="107">
        <f t="shared" si="18"/>
        <v>16.57</v>
      </c>
      <c r="L184" s="107">
        <f t="shared" si="18"/>
        <v>16.77</v>
      </c>
      <c r="M184" s="107">
        <f t="shared" si="18"/>
        <v>16.91</v>
      </c>
      <c r="N184" s="107">
        <f t="shared" si="18"/>
        <v>17.05</v>
      </c>
      <c r="O184" s="107">
        <f t="shared" si="18"/>
        <v>17.190000000000001</v>
      </c>
      <c r="P184" s="107">
        <f t="shared" si="18"/>
        <v>17.329999999999998</v>
      </c>
      <c r="Q184" s="107">
        <f t="shared" si="18"/>
        <v>17.48</v>
      </c>
      <c r="R184" s="107">
        <f t="shared" si="18"/>
        <v>17.63</v>
      </c>
      <c r="S184" s="107">
        <f t="shared" si="18"/>
        <v>17.78</v>
      </c>
      <c r="T184" s="107">
        <f t="shared" si="18"/>
        <v>17.93</v>
      </c>
      <c r="U184" s="107">
        <f t="shared" si="18"/>
        <v>18.079999999999998</v>
      </c>
      <c r="V184" s="107">
        <f t="shared" si="18"/>
        <v>18.23</v>
      </c>
      <c r="W184" s="107">
        <f t="shared" si="18"/>
        <v>18.36</v>
      </c>
      <c r="X184" s="107">
        <f t="shared" si="18"/>
        <v>18.489999999999998</v>
      </c>
      <c r="Y184" s="107">
        <f t="shared" si="18"/>
        <v>18.62</v>
      </c>
      <c r="Z184" s="107">
        <f t="shared" si="18"/>
        <v>18.75</v>
      </c>
      <c r="AA184" s="107">
        <f t="shared" si="18"/>
        <v>18.88</v>
      </c>
      <c r="AB184" s="107">
        <f t="shared" si="18"/>
        <v>19.010000000000002</v>
      </c>
      <c r="AC184" s="107">
        <f t="shared" si="18"/>
        <v>19.14</v>
      </c>
      <c r="AD184" s="107">
        <f t="shared" si="18"/>
        <v>19.27</v>
      </c>
      <c r="AE184" s="107">
        <f t="shared" si="18"/>
        <v>19.399999999999999</v>
      </c>
      <c r="AF184" s="107">
        <f t="shared" si="18"/>
        <v>19.54</v>
      </c>
      <c r="AG184" s="107">
        <f t="shared" si="18"/>
        <v>19.72</v>
      </c>
      <c r="AH184" s="107">
        <f t="shared" si="18"/>
        <v>19.899999999999999</v>
      </c>
      <c r="AI184" s="107">
        <f t="shared" si="18"/>
        <v>20.079999999999998</v>
      </c>
      <c r="AJ184" s="107">
        <f t="shared" si="18"/>
        <v>20.260000000000002</v>
      </c>
      <c r="AK184" s="107">
        <f t="shared" si="18"/>
        <v>20.440000000000001</v>
      </c>
      <c r="AL184" s="107">
        <f t="shared" si="18"/>
        <v>20.63</v>
      </c>
      <c r="AM184" s="107">
        <f t="shared" si="18"/>
        <v>20.82</v>
      </c>
      <c r="AN184" s="107">
        <f t="shared" si="18"/>
        <v>21.01</v>
      </c>
      <c r="AO184" s="107">
        <f t="shared" si="18"/>
        <v>21.2</v>
      </c>
      <c r="AP184" s="107">
        <f t="shared" si="18"/>
        <v>21.39</v>
      </c>
      <c r="AQ184" s="119">
        <f t="shared" si="15"/>
        <v>729.2102697405893</v>
      </c>
    </row>
    <row r="185" spans="2:43">
      <c r="B185" s="55" t="s">
        <v>195</v>
      </c>
      <c r="C185" s="107">
        <f>0.8/$C$27</f>
        <v>1.0434970254322875</v>
      </c>
      <c r="D185" s="107">
        <f t="shared" ref="D185:AP185" si="19">ROUND(C185*(1+(0.7*D42)),2)</f>
        <v>1.06</v>
      </c>
      <c r="E185" s="107">
        <f t="shared" si="19"/>
        <v>1.07</v>
      </c>
      <c r="F185" s="107">
        <f t="shared" si="19"/>
        <v>1.08</v>
      </c>
      <c r="G185" s="107">
        <f t="shared" si="19"/>
        <v>1.1000000000000001</v>
      </c>
      <c r="H185" s="107">
        <f t="shared" si="19"/>
        <v>1.1100000000000001</v>
      </c>
      <c r="I185" s="107">
        <f t="shared" si="19"/>
        <v>1.1200000000000001</v>
      </c>
      <c r="J185" s="107">
        <f t="shared" si="19"/>
        <v>1.1299999999999999</v>
      </c>
      <c r="K185" s="107">
        <f t="shared" si="19"/>
        <v>1.1399999999999999</v>
      </c>
      <c r="L185" s="107">
        <f t="shared" si="19"/>
        <v>1.1499999999999999</v>
      </c>
      <c r="M185" s="107">
        <f t="shared" si="19"/>
        <v>1.1599999999999999</v>
      </c>
      <c r="N185" s="107">
        <f t="shared" si="19"/>
        <v>1.17</v>
      </c>
      <c r="O185" s="107">
        <f t="shared" si="19"/>
        <v>1.18</v>
      </c>
      <c r="P185" s="107">
        <f t="shared" si="19"/>
        <v>1.19</v>
      </c>
      <c r="Q185" s="107">
        <f t="shared" si="19"/>
        <v>1.2</v>
      </c>
      <c r="R185" s="107">
        <f t="shared" si="19"/>
        <v>1.21</v>
      </c>
      <c r="S185" s="107">
        <f t="shared" si="19"/>
        <v>1.22</v>
      </c>
      <c r="T185" s="107">
        <f t="shared" si="19"/>
        <v>1.23</v>
      </c>
      <c r="U185" s="107">
        <f t="shared" si="19"/>
        <v>1.24</v>
      </c>
      <c r="V185" s="107">
        <f t="shared" si="19"/>
        <v>1.25</v>
      </c>
      <c r="W185" s="107">
        <f t="shared" si="19"/>
        <v>1.26</v>
      </c>
      <c r="X185" s="107">
        <f t="shared" si="19"/>
        <v>1.27</v>
      </c>
      <c r="Y185" s="107">
        <f t="shared" si="19"/>
        <v>1.28</v>
      </c>
      <c r="Z185" s="107">
        <f t="shared" si="19"/>
        <v>1.29</v>
      </c>
      <c r="AA185" s="107">
        <f t="shared" si="19"/>
        <v>1.3</v>
      </c>
      <c r="AB185" s="107">
        <f t="shared" si="19"/>
        <v>1.31</v>
      </c>
      <c r="AC185" s="107">
        <f t="shared" si="19"/>
        <v>1.32</v>
      </c>
      <c r="AD185" s="107">
        <f t="shared" si="19"/>
        <v>1.33</v>
      </c>
      <c r="AE185" s="107">
        <f t="shared" si="19"/>
        <v>1.34</v>
      </c>
      <c r="AF185" s="107">
        <f t="shared" si="19"/>
        <v>1.35</v>
      </c>
      <c r="AG185" s="107">
        <f t="shared" si="19"/>
        <v>1.36</v>
      </c>
      <c r="AH185" s="107">
        <f t="shared" si="19"/>
        <v>1.37</v>
      </c>
      <c r="AI185" s="107">
        <f t="shared" si="19"/>
        <v>1.38</v>
      </c>
      <c r="AJ185" s="107">
        <f t="shared" si="19"/>
        <v>1.39</v>
      </c>
      <c r="AK185" s="107">
        <f t="shared" si="19"/>
        <v>1.4</v>
      </c>
      <c r="AL185" s="107">
        <f t="shared" si="19"/>
        <v>1.41</v>
      </c>
      <c r="AM185" s="107">
        <f t="shared" si="19"/>
        <v>1.42</v>
      </c>
      <c r="AN185" s="107">
        <f t="shared" si="19"/>
        <v>1.43</v>
      </c>
      <c r="AO185" s="107">
        <f t="shared" si="19"/>
        <v>1.44</v>
      </c>
      <c r="AP185" s="107">
        <f t="shared" si="19"/>
        <v>1.45</v>
      </c>
      <c r="AQ185" s="119">
        <f t="shared" si="15"/>
        <v>50.153497025432287</v>
      </c>
    </row>
    <row r="186" spans="2:43">
      <c r="B186" s="55" t="s">
        <v>196</v>
      </c>
      <c r="C186" s="107">
        <f>27.7/$C$27</f>
        <v>36.131084505592952</v>
      </c>
      <c r="D186" s="107">
        <f t="shared" ref="D186:AP186" si="20">ROUND(C186*(1+(0.7*D42)),2)</f>
        <v>36.57</v>
      </c>
      <c r="E186" s="107">
        <f t="shared" si="20"/>
        <v>36.89</v>
      </c>
      <c r="F186" s="107">
        <f t="shared" si="20"/>
        <v>37.340000000000003</v>
      </c>
      <c r="G186" s="107">
        <f t="shared" si="20"/>
        <v>38.03</v>
      </c>
      <c r="H186" s="107">
        <f t="shared" si="20"/>
        <v>38.54</v>
      </c>
      <c r="I186" s="107">
        <f t="shared" si="20"/>
        <v>39</v>
      </c>
      <c r="J186" s="107">
        <f t="shared" si="20"/>
        <v>39.46</v>
      </c>
      <c r="K186" s="107">
        <f t="shared" si="20"/>
        <v>39.93</v>
      </c>
      <c r="L186" s="107">
        <f t="shared" si="20"/>
        <v>40.409999999999997</v>
      </c>
      <c r="M186" s="107">
        <f t="shared" si="20"/>
        <v>40.75</v>
      </c>
      <c r="N186" s="107">
        <f t="shared" si="20"/>
        <v>41.09</v>
      </c>
      <c r="O186" s="107">
        <f t="shared" si="20"/>
        <v>41.44</v>
      </c>
      <c r="P186" s="107">
        <f t="shared" si="20"/>
        <v>41.79</v>
      </c>
      <c r="Q186" s="107">
        <f t="shared" si="20"/>
        <v>42.14</v>
      </c>
      <c r="R186" s="107">
        <f t="shared" si="20"/>
        <v>42.49</v>
      </c>
      <c r="S186" s="107">
        <f t="shared" si="20"/>
        <v>42.85</v>
      </c>
      <c r="T186" s="107">
        <f t="shared" si="20"/>
        <v>43.21</v>
      </c>
      <c r="U186" s="107">
        <f t="shared" si="20"/>
        <v>43.57</v>
      </c>
      <c r="V186" s="107">
        <f t="shared" si="20"/>
        <v>43.94</v>
      </c>
      <c r="W186" s="107">
        <f t="shared" si="20"/>
        <v>44.25</v>
      </c>
      <c r="X186" s="107">
        <f t="shared" si="20"/>
        <v>44.56</v>
      </c>
      <c r="Y186" s="107">
        <f t="shared" si="20"/>
        <v>44.87</v>
      </c>
      <c r="Z186" s="107">
        <f t="shared" si="20"/>
        <v>45.18</v>
      </c>
      <c r="AA186" s="107">
        <f t="shared" si="20"/>
        <v>45.5</v>
      </c>
      <c r="AB186" s="107">
        <f t="shared" si="20"/>
        <v>45.82</v>
      </c>
      <c r="AC186" s="107">
        <f t="shared" si="20"/>
        <v>46.14</v>
      </c>
      <c r="AD186" s="107">
        <f t="shared" si="20"/>
        <v>46.46</v>
      </c>
      <c r="AE186" s="107">
        <f t="shared" si="20"/>
        <v>46.79</v>
      </c>
      <c r="AF186" s="107">
        <f t="shared" si="20"/>
        <v>47.12</v>
      </c>
      <c r="AG186" s="107">
        <f t="shared" si="20"/>
        <v>47.55</v>
      </c>
      <c r="AH186" s="107">
        <f t="shared" si="20"/>
        <v>47.98</v>
      </c>
      <c r="AI186" s="107">
        <f t="shared" si="20"/>
        <v>48.42</v>
      </c>
      <c r="AJ186" s="107">
        <f t="shared" si="20"/>
        <v>48.86</v>
      </c>
      <c r="AK186" s="107">
        <f t="shared" si="20"/>
        <v>49.3</v>
      </c>
      <c r="AL186" s="107">
        <f t="shared" si="20"/>
        <v>49.75</v>
      </c>
      <c r="AM186" s="107">
        <f t="shared" si="20"/>
        <v>50.2</v>
      </c>
      <c r="AN186" s="107">
        <f t="shared" si="20"/>
        <v>50.66</v>
      </c>
      <c r="AO186" s="107">
        <f t="shared" si="20"/>
        <v>51.12</v>
      </c>
      <c r="AP186" s="107">
        <f t="shared" si="20"/>
        <v>51.59</v>
      </c>
      <c r="AQ186" s="119">
        <f t="shared" si="15"/>
        <v>1757.6910845055927</v>
      </c>
    </row>
    <row r="187" spans="2:43">
      <c r="B187" s="1" t="s">
        <v>514</v>
      </c>
    </row>
    <row r="188" spans="2:43">
      <c r="B188" s="1"/>
    </row>
    <row r="189" spans="2:43" ht="16.5" customHeight="1">
      <c r="B189" s="178" t="s">
        <v>175</v>
      </c>
      <c r="C189" s="209" t="s">
        <v>178</v>
      </c>
      <c r="D189" s="209" t="s">
        <v>179</v>
      </c>
    </row>
    <row r="190" spans="2:43">
      <c r="B190" s="68" t="s">
        <v>147</v>
      </c>
      <c r="C190" s="81">
        <v>0.72</v>
      </c>
      <c r="D190" s="3" t="s">
        <v>177</v>
      </c>
    </row>
    <row r="191" spans="2:43">
      <c r="B191" s="52" t="s">
        <v>148</v>
      </c>
      <c r="C191" s="82">
        <v>0.82</v>
      </c>
      <c r="D191" s="3" t="s">
        <v>177</v>
      </c>
    </row>
    <row r="192" spans="2:43">
      <c r="B192" s="52" t="s">
        <v>176</v>
      </c>
      <c r="C192" s="82">
        <v>0.7</v>
      </c>
      <c r="D192" s="3" t="s">
        <v>180</v>
      </c>
    </row>
    <row r="193" spans="2:7">
      <c r="B193" s="1" t="s">
        <v>181</v>
      </c>
    </row>
    <row r="194" spans="2:7">
      <c r="B194" s="1"/>
    </row>
    <row r="195" spans="2:7" ht="16.5" customHeight="1">
      <c r="B195" s="872" t="s">
        <v>415</v>
      </c>
      <c r="C195" s="873"/>
      <c r="D195" s="873"/>
      <c r="E195" s="873"/>
      <c r="F195"/>
      <c r="G195"/>
    </row>
    <row r="196" spans="2:7" ht="12.75" customHeight="1">
      <c r="B196" s="189" t="s">
        <v>116</v>
      </c>
      <c r="C196" s="187" t="s">
        <v>416</v>
      </c>
      <c r="D196" s="187" t="s">
        <v>417</v>
      </c>
      <c r="E196" s="187" t="s">
        <v>418</v>
      </c>
      <c r="F196" s="111"/>
      <c r="G196" s="111"/>
    </row>
    <row r="197" spans="2:7">
      <c r="B197" s="56" t="s">
        <v>407</v>
      </c>
      <c r="C197" s="112">
        <v>3140</v>
      </c>
      <c r="D197" s="103">
        <v>0.182</v>
      </c>
      <c r="E197" s="103">
        <v>2.4E-2</v>
      </c>
      <c r="F197" s="110"/>
      <c r="G197" s="110"/>
    </row>
    <row r="198" spans="2:7">
      <c r="B198" s="102" t="s">
        <v>408</v>
      </c>
      <c r="C198" s="112">
        <v>3190</v>
      </c>
      <c r="D198" s="103">
        <v>0.17599999999999999</v>
      </c>
      <c r="E198" s="103">
        <v>2.4E-2</v>
      </c>
      <c r="F198" s="110"/>
      <c r="G198" s="110"/>
    </row>
    <row r="199" spans="2:7">
      <c r="B199" s="56" t="s">
        <v>393</v>
      </c>
      <c r="C199" s="112">
        <v>3140</v>
      </c>
      <c r="D199" s="103">
        <v>0.17899999999999999</v>
      </c>
      <c r="E199" s="103">
        <v>2.4E-2</v>
      </c>
      <c r="F199" s="110"/>
      <c r="G199" s="110"/>
    </row>
    <row r="200" spans="2:7">
      <c r="B200" s="115" t="s">
        <v>423</v>
      </c>
      <c r="C200" s="109"/>
      <c r="D200" s="109"/>
      <c r="E200" s="109"/>
      <c r="F200" s="110"/>
      <c r="G200" s="110"/>
    </row>
    <row r="201" spans="2:7">
      <c r="B201" s="108"/>
      <c r="C201" s="109"/>
      <c r="D201" s="109"/>
      <c r="E201" s="109"/>
      <c r="F201" s="110"/>
      <c r="G201" s="110"/>
    </row>
    <row r="202" spans="2:7" ht="17.25" customHeight="1">
      <c r="B202" s="879" t="s">
        <v>422</v>
      </c>
      <c r="C202" s="880"/>
      <c r="D202" s="881"/>
      <c r="E202" s="109"/>
      <c r="F202" s="110"/>
      <c r="G202" s="110"/>
    </row>
    <row r="203" spans="2:7" ht="22.5">
      <c r="B203" s="188" t="s">
        <v>419</v>
      </c>
      <c r="C203" s="187" t="s">
        <v>420</v>
      </c>
      <c r="D203" s="187" t="s">
        <v>421</v>
      </c>
      <c r="E203" s="109"/>
      <c r="F203" s="110"/>
      <c r="G203" s="110"/>
    </row>
    <row r="204" spans="2:7">
      <c r="B204" s="48">
        <v>206</v>
      </c>
      <c r="C204" s="175">
        <v>210</v>
      </c>
      <c r="D204" s="175">
        <v>216</v>
      </c>
      <c r="E204" s="109"/>
      <c r="F204" s="110"/>
      <c r="G204" s="110"/>
    </row>
    <row r="205" spans="2:7">
      <c r="B205" s="115" t="s">
        <v>424</v>
      </c>
      <c r="C205" s="109"/>
      <c r="D205" s="109"/>
      <c r="E205" s="109"/>
      <c r="F205" s="110"/>
      <c r="G205" s="110"/>
    </row>
    <row r="206" spans="2:7">
      <c r="B206" s="108"/>
      <c r="C206" s="109"/>
      <c r="D206" s="109"/>
      <c r="E206" s="109"/>
      <c r="F206" s="110"/>
      <c r="G206" s="110"/>
    </row>
    <row r="207" spans="2:7" ht="16.5" customHeight="1">
      <c r="B207" s="893" t="s">
        <v>425</v>
      </c>
      <c r="C207" s="894"/>
      <c r="D207" s="894"/>
      <c r="E207" s="894"/>
      <c r="F207" s="110"/>
      <c r="G207" s="110"/>
    </row>
    <row r="208" spans="2:7" ht="16.5" customHeight="1">
      <c r="B208" s="186"/>
      <c r="C208" s="187" t="s">
        <v>416</v>
      </c>
      <c r="D208" s="187" t="s">
        <v>417</v>
      </c>
      <c r="E208" s="187" t="s">
        <v>418</v>
      </c>
      <c r="F208" s="110"/>
      <c r="G208" s="110"/>
    </row>
    <row r="209" spans="2:43">
      <c r="B209" s="56" t="s">
        <v>207</v>
      </c>
      <c r="C209" s="112">
        <v>1</v>
      </c>
      <c r="D209" s="112">
        <v>25</v>
      </c>
      <c r="E209" s="112">
        <v>298</v>
      </c>
      <c r="F209" s="110"/>
      <c r="G209" s="110"/>
    </row>
    <row r="210" spans="2:43">
      <c r="B210" s="115" t="s">
        <v>208</v>
      </c>
      <c r="C210" s="109"/>
      <c r="D210" s="109"/>
      <c r="E210" s="109"/>
      <c r="F210" s="110"/>
      <c r="G210" s="110"/>
    </row>
    <row r="211" spans="2:43">
      <c r="B211" s="115"/>
      <c r="C211" s="109"/>
      <c r="D211" s="109"/>
      <c r="E211" s="109"/>
      <c r="F211" s="110"/>
      <c r="G211" s="110"/>
    </row>
    <row r="212" spans="2:43" ht="16.5" customHeight="1">
      <c r="B212" s="160" t="s">
        <v>209</v>
      </c>
      <c r="C212" s="159">
        <v>2021</v>
      </c>
      <c r="D212" s="159">
        <v>2022</v>
      </c>
      <c r="E212" s="159">
        <v>2023</v>
      </c>
      <c r="F212" s="159">
        <v>2024</v>
      </c>
      <c r="G212" s="159">
        <v>2025</v>
      </c>
      <c r="H212" s="159">
        <v>2026</v>
      </c>
      <c r="I212" s="159">
        <v>2027</v>
      </c>
      <c r="J212" s="159">
        <v>2028</v>
      </c>
      <c r="K212" s="159">
        <v>2029</v>
      </c>
      <c r="L212" s="159">
        <v>2030</v>
      </c>
      <c r="M212" s="159">
        <v>2031</v>
      </c>
      <c r="N212" s="159">
        <v>2032</v>
      </c>
      <c r="O212" s="159">
        <v>2033</v>
      </c>
      <c r="P212" s="159">
        <v>2034</v>
      </c>
      <c r="Q212" s="159">
        <v>2035</v>
      </c>
      <c r="R212" s="159">
        <v>2036</v>
      </c>
      <c r="S212" s="159">
        <v>2037</v>
      </c>
      <c r="T212" s="159">
        <v>2038</v>
      </c>
      <c r="U212" s="159">
        <v>2039</v>
      </c>
      <c r="V212" s="159">
        <v>2040</v>
      </c>
      <c r="W212" s="159">
        <v>2041</v>
      </c>
      <c r="X212" s="159">
        <v>2042</v>
      </c>
      <c r="Y212" s="159">
        <v>2043</v>
      </c>
      <c r="Z212" s="159">
        <v>2044</v>
      </c>
      <c r="AA212" s="159">
        <v>2045</v>
      </c>
      <c r="AB212" s="159">
        <v>2046</v>
      </c>
      <c r="AC212" s="159">
        <v>2047</v>
      </c>
      <c r="AD212" s="159">
        <v>2048</v>
      </c>
      <c r="AE212" s="159">
        <v>2049</v>
      </c>
      <c r="AF212" s="159">
        <v>2050</v>
      </c>
      <c r="AG212" s="159">
        <v>2051</v>
      </c>
      <c r="AH212" s="159">
        <v>2052</v>
      </c>
      <c r="AI212" s="159">
        <v>2053</v>
      </c>
      <c r="AJ212" s="159">
        <v>2054</v>
      </c>
      <c r="AK212" s="159">
        <v>2055</v>
      </c>
      <c r="AL212" s="159">
        <v>2056</v>
      </c>
      <c r="AM212" s="159">
        <v>2057</v>
      </c>
      <c r="AN212" s="159">
        <v>2058</v>
      </c>
      <c r="AO212" s="159">
        <v>2059</v>
      </c>
      <c r="AP212" s="159">
        <v>2060</v>
      </c>
    </row>
    <row r="213" spans="2:43">
      <c r="B213" s="56" t="s">
        <v>210</v>
      </c>
      <c r="C213" s="107">
        <f>(86+(G213-86)/5)/$C$27</f>
        <v>149.96975339006039</v>
      </c>
      <c r="D213" s="107">
        <f>C213+(G213-86)/5</f>
        <v>178.94449676543911</v>
      </c>
      <c r="E213" s="107">
        <f>D213+(G213-86)/5</f>
        <v>207.91924014081783</v>
      </c>
      <c r="F213" s="107">
        <f>E213+(G213-86)/5</f>
        <v>236.89398351619656</v>
      </c>
      <c r="G213" s="185">
        <f>177/$C$27</f>
        <v>230.87371687689361</v>
      </c>
      <c r="H213" s="107">
        <f>G213+($L$213-$G$213)/5</f>
        <v>254.61327420547815</v>
      </c>
      <c r="I213" s="107">
        <f t="shared" ref="I213:K213" si="21">H213+($L$213-$G$213)/5</f>
        <v>278.35283153406272</v>
      </c>
      <c r="J213" s="107">
        <f t="shared" si="21"/>
        <v>302.09238886264723</v>
      </c>
      <c r="K213" s="107">
        <f t="shared" si="21"/>
        <v>325.83194619123174</v>
      </c>
      <c r="L213" s="185">
        <f>268/$C$27</f>
        <v>349.5715035198163</v>
      </c>
      <c r="M213" s="107">
        <f>L213+($Q$213-$L$213)/5</f>
        <v>388.70264197352708</v>
      </c>
      <c r="N213" s="107">
        <f t="shared" ref="N213:P213" si="22">M213+($Q$213-$L$213)/5</f>
        <v>427.83378042723785</v>
      </c>
      <c r="O213" s="107">
        <f t="shared" si="22"/>
        <v>466.96491888094863</v>
      </c>
      <c r="P213" s="107">
        <f t="shared" si="22"/>
        <v>506.09605733465941</v>
      </c>
      <c r="Q213" s="185">
        <f>418/$C$27</f>
        <v>545.2271957883703</v>
      </c>
      <c r="R213" s="107">
        <f>Q213+($V$213-$Q$213)/5</f>
        <v>583.05396296029073</v>
      </c>
      <c r="S213" s="107">
        <f t="shared" ref="S213:U213" si="23">R213+($V$213-$Q$213)/5</f>
        <v>620.88073013221117</v>
      </c>
      <c r="T213" s="107">
        <f t="shared" si="23"/>
        <v>658.70749730413161</v>
      </c>
      <c r="U213" s="107">
        <f t="shared" si="23"/>
        <v>696.53426447605204</v>
      </c>
      <c r="V213" s="185">
        <f>563/$C$27</f>
        <v>734.36103164797237</v>
      </c>
      <c r="W213" s="107">
        <f>V213+($AA$213-$V$213)/5</f>
        <v>772.18779881989281</v>
      </c>
      <c r="X213" s="107">
        <f t="shared" ref="X213:Z213" si="24">W213+($AA$213-$V$213)/5</f>
        <v>810.01456599181324</v>
      </c>
      <c r="Y213" s="107">
        <f t="shared" si="24"/>
        <v>847.84133316373368</v>
      </c>
      <c r="Z213" s="107">
        <f t="shared" si="24"/>
        <v>885.66810033565412</v>
      </c>
      <c r="AA213" s="185">
        <f>708/$C$27</f>
        <v>923.49486750757444</v>
      </c>
      <c r="AB213" s="107">
        <f>AA213+($AF$213-$AA$213)/5</f>
        <v>962.62600596128527</v>
      </c>
      <c r="AC213" s="107">
        <f t="shared" ref="AC213:AE213" si="25">AB213+($AF$213-$AA$213)/5</f>
        <v>1001.7571444149961</v>
      </c>
      <c r="AD213" s="107">
        <f t="shared" si="25"/>
        <v>1040.8882828687069</v>
      </c>
      <c r="AE213" s="107">
        <f t="shared" si="25"/>
        <v>1080.0194213224177</v>
      </c>
      <c r="AF213" s="185">
        <f>858/$C$27</f>
        <v>1119.1505597761284</v>
      </c>
      <c r="AG213" s="107">
        <f>$AF$213</f>
        <v>1119.1505597761284</v>
      </c>
      <c r="AH213" s="107">
        <f t="shared" ref="AH213:AP213" si="26">$AF$213</f>
        <v>1119.1505597761284</v>
      </c>
      <c r="AI213" s="107">
        <f t="shared" si="26"/>
        <v>1119.1505597761284</v>
      </c>
      <c r="AJ213" s="107">
        <f t="shared" si="26"/>
        <v>1119.1505597761284</v>
      </c>
      <c r="AK213" s="107">
        <f t="shared" si="26"/>
        <v>1119.1505597761284</v>
      </c>
      <c r="AL213" s="107">
        <f t="shared" si="26"/>
        <v>1119.1505597761284</v>
      </c>
      <c r="AM213" s="107">
        <f t="shared" si="26"/>
        <v>1119.1505597761284</v>
      </c>
      <c r="AN213" s="107">
        <f t="shared" si="26"/>
        <v>1119.1505597761284</v>
      </c>
      <c r="AO213" s="107">
        <f t="shared" si="26"/>
        <v>1119.1505597761284</v>
      </c>
      <c r="AP213" s="107">
        <f t="shared" si="26"/>
        <v>1119.1505597761284</v>
      </c>
      <c r="AQ213" s="117">
        <f>SUM(C213:AP213)</f>
        <v>28778.578893851525</v>
      </c>
    </row>
    <row r="214" spans="2:43">
      <c r="B214" s="1" t="s">
        <v>513</v>
      </c>
      <c r="AQ214" s="72"/>
    </row>
    <row r="215" spans="2:43">
      <c r="AQ215" s="72"/>
    </row>
    <row r="216" spans="2:43" ht="22.5">
      <c r="B216" s="160" t="s">
        <v>211</v>
      </c>
      <c r="C216" s="159">
        <v>2021</v>
      </c>
      <c r="D216" s="159">
        <v>2022</v>
      </c>
      <c r="E216" s="159">
        <v>2023</v>
      </c>
      <c r="F216" s="159">
        <v>2024</v>
      </c>
      <c r="G216" s="159">
        <v>2025</v>
      </c>
      <c r="H216" s="159">
        <v>2026</v>
      </c>
      <c r="I216" s="159">
        <v>2027</v>
      </c>
      <c r="J216" s="159">
        <v>2028</v>
      </c>
      <c r="K216" s="159">
        <v>2029</v>
      </c>
      <c r="L216" s="159">
        <v>2030</v>
      </c>
      <c r="M216" s="159">
        <v>2031</v>
      </c>
      <c r="N216" s="159">
        <v>2032</v>
      </c>
      <c r="O216" s="159">
        <v>2033</v>
      </c>
      <c r="P216" s="159">
        <v>2034</v>
      </c>
      <c r="Q216" s="159">
        <v>2035</v>
      </c>
      <c r="R216" s="159">
        <v>2036</v>
      </c>
      <c r="S216" s="159">
        <v>2037</v>
      </c>
      <c r="T216" s="159">
        <v>2038</v>
      </c>
      <c r="U216" s="159">
        <v>2039</v>
      </c>
      <c r="V216" s="159">
        <v>2040</v>
      </c>
      <c r="W216" s="159">
        <v>2041</v>
      </c>
      <c r="X216" s="159">
        <v>2042</v>
      </c>
      <c r="Y216" s="159">
        <v>2043</v>
      </c>
      <c r="Z216" s="159">
        <v>2044</v>
      </c>
      <c r="AA216" s="159">
        <v>2045</v>
      </c>
      <c r="AB216" s="159">
        <v>2046</v>
      </c>
      <c r="AC216" s="159">
        <v>2047</v>
      </c>
      <c r="AD216" s="159">
        <v>2048</v>
      </c>
      <c r="AE216" s="159">
        <v>2049</v>
      </c>
      <c r="AF216" s="159">
        <v>2050</v>
      </c>
      <c r="AG216" s="159">
        <v>2051</v>
      </c>
      <c r="AH216" s="159">
        <v>2052</v>
      </c>
      <c r="AI216" s="159">
        <v>2053</v>
      </c>
      <c r="AJ216" s="159">
        <v>2054</v>
      </c>
      <c r="AK216" s="159">
        <v>2055</v>
      </c>
      <c r="AL216" s="159">
        <v>2056</v>
      </c>
      <c r="AM216" s="159">
        <v>2057</v>
      </c>
      <c r="AN216" s="159">
        <v>2058</v>
      </c>
      <c r="AO216" s="159">
        <v>2059</v>
      </c>
      <c r="AP216" s="159">
        <v>2060</v>
      </c>
      <c r="AQ216" s="72"/>
    </row>
    <row r="217" spans="2:43">
      <c r="B217" s="55" t="s">
        <v>426</v>
      </c>
      <c r="C217" s="116">
        <f>(81.18*0.01)/$C$27</f>
        <v>1.0588886065574139</v>
      </c>
      <c r="D217" s="116">
        <f t="shared" ref="D217:AP217" si="27">ROUND(C217*(1+(0.7*D42)),4)</f>
        <v>1.0717000000000001</v>
      </c>
      <c r="E217" s="116">
        <f t="shared" si="27"/>
        <v>1.0811999999999999</v>
      </c>
      <c r="F217" s="116">
        <f t="shared" si="27"/>
        <v>1.0945</v>
      </c>
      <c r="G217" s="116">
        <f t="shared" si="27"/>
        <v>1.1148</v>
      </c>
      <c r="H217" s="116">
        <f t="shared" si="27"/>
        <v>1.1296999999999999</v>
      </c>
      <c r="I217" s="116">
        <f t="shared" si="27"/>
        <v>1.1431</v>
      </c>
      <c r="J217" s="116">
        <f t="shared" si="27"/>
        <v>1.1567000000000001</v>
      </c>
      <c r="K217" s="116">
        <f t="shared" si="27"/>
        <v>1.1705000000000001</v>
      </c>
      <c r="L217" s="116">
        <f t="shared" si="27"/>
        <v>1.1843999999999999</v>
      </c>
      <c r="M217" s="116">
        <f t="shared" si="27"/>
        <v>1.1942999999999999</v>
      </c>
      <c r="N217" s="116">
        <f t="shared" si="27"/>
        <v>1.2042999999999999</v>
      </c>
      <c r="O217" s="116">
        <f t="shared" si="27"/>
        <v>1.2143999999999999</v>
      </c>
      <c r="P217" s="116">
        <f t="shared" si="27"/>
        <v>1.2245999999999999</v>
      </c>
      <c r="Q217" s="116">
        <f t="shared" si="27"/>
        <v>1.2349000000000001</v>
      </c>
      <c r="R217" s="116">
        <f t="shared" si="27"/>
        <v>1.2453000000000001</v>
      </c>
      <c r="S217" s="116">
        <f t="shared" si="27"/>
        <v>1.2558</v>
      </c>
      <c r="T217" s="116">
        <f t="shared" si="27"/>
        <v>1.2663</v>
      </c>
      <c r="U217" s="116">
        <f t="shared" si="27"/>
        <v>1.2768999999999999</v>
      </c>
      <c r="V217" s="116">
        <f t="shared" si="27"/>
        <v>1.2876000000000001</v>
      </c>
      <c r="W217" s="116">
        <f t="shared" si="27"/>
        <v>1.2966</v>
      </c>
      <c r="X217" s="116">
        <f t="shared" si="27"/>
        <v>1.3057000000000001</v>
      </c>
      <c r="Y217" s="116">
        <f t="shared" si="27"/>
        <v>1.3148</v>
      </c>
      <c r="Z217" s="116">
        <f t="shared" si="27"/>
        <v>1.3240000000000001</v>
      </c>
      <c r="AA217" s="116">
        <f t="shared" si="27"/>
        <v>1.3332999999999999</v>
      </c>
      <c r="AB217" s="116">
        <f t="shared" si="27"/>
        <v>1.3426</v>
      </c>
      <c r="AC217" s="116">
        <f t="shared" si="27"/>
        <v>1.3520000000000001</v>
      </c>
      <c r="AD217" s="116">
        <f t="shared" si="27"/>
        <v>1.3614999999999999</v>
      </c>
      <c r="AE217" s="116">
        <f t="shared" si="27"/>
        <v>1.371</v>
      </c>
      <c r="AF217" s="116">
        <f t="shared" si="27"/>
        <v>1.3806</v>
      </c>
      <c r="AG217" s="116">
        <f t="shared" si="27"/>
        <v>1.3932</v>
      </c>
      <c r="AH217" s="116">
        <f t="shared" si="27"/>
        <v>1.4058999999999999</v>
      </c>
      <c r="AI217" s="116">
        <f t="shared" si="27"/>
        <v>1.4187000000000001</v>
      </c>
      <c r="AJ217" s="116">
        <f t="shared" si="27"/>
        <v>1.4316</v>
      </c>
      <c r="AK217" s="116">
        <f t="shared" si="27"/>
        <v>1.4446000000000001</v>
      </c>
      <c r="AL217" s="116">
        <f t="shared" si="27"/>
        <v>1.4577</v>
      </c>
      <c r="AM217" s="116">
        <f t="shared" si="27"/>
        <v>1.4710000000000001</v>
      </c>
      <c r="AN217" s="116">
        <f t="shared" si="27"/>
        <v>1.4843999999999999</v>
      </c>
      <c r="AO217" s="116">
        <f t="shared" si="27"/>
        <v>1.4979</v>
      </c>
      <c r="AP217" s="116">
        <f t="shared" si="27"/>
        <v>1.5115000000000001</v>
      </c>
      <c r="AQ217" s="118">
        <f>SUM(C217:AP217)</f>
        <v>51.508488606557442</v>
      </c>
    </row>
    <row r="218" spans="2:43">
      <c r="B218" s="55" t="s">
        <v>427</v>
      </c>
      <c r="C218" s="116">
        <f>(35.81*0.01)/$C$27</f>
        <v>0.46709535600912777</v>
      </c>
      <c r="D218" s="116">
        <f t="shared" ref="D218:AP218" si="28">ROUND(C218*(1+(0.7*D42)),4)</f>
        <v>0.47270000000000001</v>
      </c>
      <c r="E218" s="116">
        <f t="shared" si="28"/>
        <v>0.47689999999999999</v>
      </c>
      <c r="F218" s="116">
        <f t="shared" si="28"/>
        <v>0.48280000000000001</v>
      </c>
      <c r="G218" s="116">
        <f t="shared" si="28"/>
        <v>0.49180000000000001</v>
      </c>
      <c r="H218" s="116">
        <f t="shared" si="28"/>
        <v>0.49840000000000001</v>
      </c>
      <c r="I218" s="116">
        <f t="shared" si="28"/>
        <v>0.50429999999999997</v>
      </c>
      <c r="J218" s="116">
        <f t="shared" si="28"/>
        <v>0.51029999999999998</v>
      </c>
      <c r="K218" s="116">
        <f t="shared" si="28"/>
        <v>0.51639999999999997</v>
      </c>
      <c r="L218" s="116">
        <f t="shared" si="28"/>
        <v>0.52249999999999996</v>
      </c>
      <c r="M218" s="116">
        <f t="shared" si="28"/>
        <v>0.52690000000000003</v>
      </c>
      <c r="N218" s="116">
        <f t="shared" si="28"/>
        <v>0.53129999999999999</v>
      </c>
      <c r="O218" s="116">
        <f t="shared" si="28"/>
        <v>0.53580000000000005</v>
      </c>
      <c r="P218" s="116">
        <f t="shared" si="28"/>
        <v>0.5403</v>
      </c>
      <c r="Q218" s="116">
        <f t="shared" si="28"/>
        <v>0.54479999999999995</v>
      </c>
      <c r="R218" s="116">
        <f t="shared" si="28"/>
        <v>0.5494</v>
      </c>
      <c r="S218" s="116">
        <f t="shared" si="28"/>
        <v>0.55400000000000005</v>
      </c>
      <c r="T218" s="116">
        <f t="shared" si="28"/>
        <v>0.55869999999999997</v>
      </c>
      <c r="U218" s="116">
        <f t="shared" si="28"/>
        <v>0.56340000000000001</v>
      </c>
      <c r="V218" s="116">
        <f t="shared" si="28"/>
        <v>0.56810000000000005</v>
      </c>
      <c r="W218" s="116">
        <f t="shared" si="28"/>
        <v>0.57210000000000005</v>
      </c>
      <c r="X218" s="116">
        <f t="shared" si="28"/>
        <v>0.57609999999999995</v>
      </c>
      <c r="Y218" s="116">
        <f t="shared" si="28"/>
        <v>0.58009999999999995</v>
      </c>
      <c r="Z218" s="116">
        <f t="shared" si="28"/>
        <v>0.58420000000000005</v>
      </c>
      <c r="AA218" s="116">
        <f t="shared" si="28"/>
        <v>0.58830000000000005</v>
      </c>
      <c r="AB218" s="116">
        <f t="shared" si="28"/>
        <v>0.59240000000000004</v>
      </c>
      <c r="AC218" s="116">
        <f t="shared" si="28"/>
        <v>0.59650000000000003</v>
      </c>
      <c r="AD218" s="116">
        <f t="shared" si="28"/>
        <v>0.60070000000000001</v>
      </c>
      <c r="AE218" s="116">
        <f t="shared" si="28"/>
        <v>0.60489999999999999</v>
      </c>
      <c r="AF218" s="116">
        <f t="shared" si="28"/>
        <v>0.60909999999999997</v>
      </c>
      <c r="AG218" s="116">
        <f t="shared" si="28"/>
        <v>0.61460000000000004</v>
      </c>
      <c r="AH218" s="116">
        <f t="shared" si="28"/>
        <v>0.62019999999999997</v>
      </c>
      <c r="AI218" s="116">
        <f t="shared" si="28"/>
        <v>0.62580000000000002</v>
      </c>
      <c r="AJ218" s="116">
        <f t="shared" si="28"/>
        <v>0.63149999999999995</v>
      </c>
      <c r="AK218" s="116">
        <f t="shared" si="28"/>
        <v>0.63719999999999999</v>
      </c>
      <c r="AL218" s="116">
        <f t="shared" si="28"/>
        <v>0.64300000000000002</v>
      </c>
      <c r="AM218" s="116">
        <f t="shared" si="28"/>
        <v>0.64890000000000003</v>
      </c>
      <c r="AN218" s="116">
        <f t="shared" si="28"/>
        <v>0.65480000000000005</v>
      </c>
      <c r="AO218" s="116">
        <f t="shared" si="28"/>
        <v>0.66080000000000005</v>
      </c>
      <c r="AP218" s="116">
        <f t="shared" si="28"/>
        <v>0.66679999999999995</v>
      </c>
      <c r="AQ218" s="118">
        <f t="shared" ref="AQ218:AQ222" si="29">SUM(C218:AP218)</f>
        <v>22.723895356009134</v>
      </c>
    </row>
    <row r="219" spans="2:43">
      <c r="B219" s="55" t="s">
        <v>428</v>
      </c>
      <c r="C219" s="116">
        <f>(5.17*0.01)/$C$27</f>
        <v>6.7435995268561588E-2</v>
      </c>
      <c r="D219" s="116">
        <f t="shared" ref="D219:AP219" si="30">ROUND(C219*(1+(0.7*D42)),4)</f>
        <v>6.8199999999999997E-2</v>
      </c>
      <c r="E219" s="116">
        <f t="shared" si="30"/>
        <v>6.88E-2</v>
      </c>
      <c r="F219" s="116">
        <f t="shared" si="30"/>
        <v>6.9599999999999995E-2</v>
      </c>
      <c r="G219" s="116">
        <f t="shared" si="30"/>
        <v>7.0900000000000005E-2</v>
      </c>
      <c r="H219" s="116">
        <f t="shared" si="30"/>
        <v>7.1800000000000003E-2</v>
      </c>
      <c r="I219" s="116">
        <f t="shared" si="30"/>
        <v>7.2700000000000001E-2</v>
      </c>
      <c r="J219" s="116">
        <f t="shared" si="30"/>
        <v>7.3599999999999999E-2</v>
      </c>
      <c r="K219" s="116">
        <f t="shared" si="30"/>
        <v>7.4499999999999997E-2</v>
      </c>
      <c r="L219" s="116">
        <f t="shared" si="30"/>
        <v>7.5399999999999995E-2</v>
      </c>
      <c r="M219" s="116">
        <f t="shared" si="30"/>
        <v>7.5999999999999998E-2</v>
      </c>
      <c r="N219" s="116">
        <f t="shared" si="30"/>
        <v>7.6600000000000001E-2</v>
      </c>
      <c r="O219" s="116">
        <f t="shared" si="30"/>
        <v>7.7200000000000005E-2</v>
      </c>
      <c r="P219" s="116">
        <f t="shared" si="30"/>
        <v>7.7799999999999994E-2</v>
      </c>
      <c r="Q219" s="116">
        <f t="shared" si="30"/>
        <v>7.85E-2</v>
      </c>
      <c r="R219" s="116">
        <f t="shared" si="30"/>
        <v>7.9200000000000007E-2</v>
      </c>
      <c r="S219" s="116">
        <f t="shared" si="30"/>
        <v>7.9899999999999999E-2</v>
      </c>
      <c r="T219" s="116">
        <f t="shared" si="30"/>
        <v>8.0600000000000005E-2</v>
      </c>
      <c r="U219" s="116">
        <f t="shared" si="30"/>
        <v>8.1299999999999997E-2</v>
      </c>
      <c r="V219" s="116">
        <f t="shared" si="30"/>
        <v>8.2000000000000003E-2</v>
      </c>
      <c r="W219" s="116">
        <f t="shared" si="30"/>
        <v>8.2600000000000007E-2</v>
      </c>
      <c r="X219" s="116">
        <f t="shared" si="30"/>
        <v>8.3199999999999996E-2</v>
      </c>
      <c r="Y219" s="116">
        <f t="shared" si="30"/>
        <v>8.3799999999999999E-2</v>
      </c>
      <c r="Z219" s="116">
        <f t="shared" si="30"/>
        <v>8.4400000000000003E-2</v>
      </c>
      <c r="AA219" s="116">
        <f t="shared" si="30"/>
        <v>8.5000000000000006E-2</v>
      </c>
      <c r="AB219" s="116">
        <f t="shared" si="30"/>
        <v>8.5599999999999996E-2</v>
      </c>
      <c r="AC219" s="116">
        <f t="shared" si="30"/>
        <v>8.6199999999999999E-2</v>
      </c>
      <c r="AD219" s="116">
        <f t="shared" si="30"/>
        <v>8.6800000000000002E-2</v>
      </c>
      <c r="AE219" s="116">
        <f t="shared" si="30"/>
        <v>8.7400000000000005E-2</v>
      </c>
      <c r="AF219" s="116">
        <f t="shared" si="30"/>
        <v>8.7999999999999995E-2</v>
      </c>
      <c r="AG219" s="116">
        <f t="shared" si="30"/>
        <v>8.8800000000000004E-2</v>
      </c>
      <c r="AH219" s="116">
        <f t="shared" si="30"/>
        <v>8.9599999999999999E-2</v>
      </c>
      <c r="AI219" s="116">
        <f t="shared" si="30"/>
        <v>9.0399999999999994E-2</v>
      </c>
      <c r="AJ219" s="116">
        <f t="shared" si="30"/>
        <v>9.1200000000000003E-2</v>
      </c>
      <c r="AK219" s="116">
        <f t="shared" si="30"/>
        <v>9.1999999999999998E-2</v>
      </c>
      <c r="AL219" s="116">
        <f t="shared" si="30"/>
        <v>9.2799999999999994E-2</v>
      </c>
      <c r="AM219" s="116">
        <f t="shared" si="30"/>
        <v>9.3600000000000003E-2</v>
      </c>
      <c r="AN219" s="116">
        <f t="shared" si="30"/>
        <v>9.4500000000000001E-2</v>
      </c>
      <c r="AO219" s="116">
        <f t="shared" si="30"/>
        <v>9.5399999999999999E-2</v>
      </c>
      <c r="AP219" s="116">
        <f t="shared" si="30"/>
        <v>9.6299999999999997E-2</v>
      </c>
      <c r="AQ219" s="118">
        <f t="shared" si="29"/>
        <v>3.2796359952685621</v>
      </c>
    </row>
    <row r="220" spans="2:43">
      <c r="B220" s="55" t="s">
        <v>429</v>
      </c>
      <c r="C220" s="116">
        <f>(110.87*0.01)/$C$27</f>
        <v>1.4461564401209714</v>
      </c>
      <c r="D220" s="116">
        <f t="shared" ref="D220:AP220" si="31">ROUND(C220*(1+(0.7*D42)),4)</f>
        <v>1.4636</v>
      </c>
      <c r="E220" s="116">
        <f t="shared" si="31"/>
        <v>1.4765999999999999</v>
      </c>
      <c r="F220" s="116">
        <f t="shared" si="31"/>
        <v>1.4947999999999999</v>
      </c>
      <c r="G220" s="116">
        <f t="shared" si="31"/>
        <v>1.5226</v>
      </c>
      <c r="H220" s="116">
        <f t="shared" si="31"/>
        <v>1.5428999999999999</v>
      </c>
      <c r="I220" s="116">
        <f t="shared" si="31"/>
        <v>1.5612999999999999</v>
      </c>
      <c r="J220" s="116">
        <f t="shared" si="31"/>
        <v>1.5799000000000001</v>
      </c>
      <c r="K220" s="116">
        <f t="shared" si="31"/>
        <v>1.5987</v>
      </c>
      <c r="L220" s="116">
        <f t="shared" si="31"/>
        <v>1.6176999999999999</v>
      </c>
      <c r="M220" s="116">
        <f t="shared" si="31"/>
        <v>1.6313</v>
      </c>
      <c r="N220" s="116">
        <f t="shared" si="31"/>
        <v>1.645</v>
      </c>
      <c r="O220" s="116">
        <f t="shared" si="31"/>
        <v>1.6588000000000001</v>
      </c>
      <c r="P220" s="116">
        <f t="shared" si="31"/>
        <v>1.6727000000000001</v>
      </c>
      <c r="Q220" s="116">
        <f t="shared" si="31"/>
        <v>1.6868000000000001</v>
      </c>
      <c r="R220" s="116">
        <f t="shared" si="31"/>
        <v>1.7010000000000001</v>
      </c>
      <c r="S220" s="116">
        <f t="shared" si="31"/>
        <v>1.7153</v>
      </c>
      <c r="T220" s="116">
        <f t="shared" si="31"/>
        <v>1.7297</v>
      </c>
      <c r="U220" s="116">
        <f t="shared" si="31"/>
        <v>1.7442</v>
      </c>
      <c r="V220" s="116">
        <f t="shared" si="31"/>
        <v>1.7588999999999999</v>
      </c>
      <c r="W220" s="116">
        <f t="shared" si="31"/>
        <v>1.7712000000000001</v>
      </c>
      <c r="X220" s="116">
        <f t="shared" si="31"/>
        <v>1.7836000000000001</v>
      </c>
      <c r="Y220" s="116">
        <f t="shared" si="31"/>
        <v>1.7961</v>
      </c>
      <c r="Z220" s="116">
        <f t="shared" si="31"/>
        <v>1.8087</v>
      </c>
      <c r="AA220" s="116">
        <f t="shared" si="31"/>
        <v>1.8213999999999999</v>
      </c>
      <c r="AB220" s="116">
        <f t="shared" si="31"/>
        <v>1.8341000000000001</v>
      </c>
      <c r="AC220" s="116">
        <f t="shared" si="31"/>
        <v>1.8469</v>
      </c>
      <c r="AD220" s="116">
        <f t="shared" si="31"/>
        <v>1.8597999999999999</v>
      </c>
      <c r="AE220" s="116">
        <f t="shared" si="31"/>
        <v>1.8728</v>
      </c>
      <c r="AF220" s="116">
        <f t="shared" si="31"/>
        <v>1.8858999999999999</v>
      </c>
      <c r="AG220" s="116">
        <f t="shared" si="31"/>
        <v>1.9031</v>
      </c>
      <c r="AH220" s="116">
        <f t="shared" si="31"/>
        <v>1.9204000000000001</v>
      </c>
      <c r="AI220" s="116">
        <f t="shared" si="31"/>
        <v>1.9379</v>
      </c>
      <c r="AJ220" s="116">
        <f t="shared" si="31"/>
        <v>1.9555</v>
      </c>
      <c r="AK220" s="116">
        <f t="shared" si="31"/>
        <v>1.9733000000000001</v>
      </c>
      <c r="AL220" s="116">
        <f t="shared" si="31"/>
        <v>1.9913000000000001</v>
      </c>
      <c r="AM220" s="116">
        <f t="shared" si="31"/>
        <v>2.0093999999999999</v>
      </c>
      <c r="AN220" s="116">
        <f t="shared" si="31"/>
        <v>2.0276999999999998</v>
      </c>
      <c r="AO220" s="116">
        <f t="shared" si="31"/>
        <v>2.0461999999999998</v>
      </c>
      <c r="AP220" s="116">
        <f t="shared" si="31"/>
        <v>2.0648</v>
      </c>
      <c r="AQ220" s="118">
        <f t="shared" si="29"/>
        <v>70.358056440120976</v>
      </c>
    </row>
    <row r="221" spans="2:43">
      <c r="B221" s="55" t="s">
        <v>430</v>
      </c>
      <c r="C221" s="116">
        <f>(46.16*0.01)/$C$27</f>
        <v>0.6020977836744299</v>
      </c>
      <c r="D221" s="116">
        <f t="shared" ref="D221:AP221" si="32">ROUND(C221*(1+(0.7*D42)),4)</f>
        <v>0.60940000000000005</v>
      </c>
      <c r="E221" s="116">
        <f t="shared" si="32"/>
        <v>0.61480000000000001</v>
      </c>
      <c r="F221" s="116">
        <f t="shared" si="32"/>
        <v>0.62239999999999995</v>
      </c>
      <c r="G221" s="116">
        <f t="shared" si="32"/>
        <v>0.63400000000000001</v>
      </c>
      <c r="H221" s="116">
        <f t="shared" si="32"/>
        <v>0.64249999999999996</v>
      </c>
      <c r="I221" s="116">
        <f t="shared" si="32"/>
        <v>0.65010000000000001</v>
      </c>
      <c r="J221" s="116">
        <f t="shared" si="32"/>
        <v>0.65780000000000005</v>
      </c>
      <c r="K221" s="116">
        <f t="shared" si="32"/>
        <v>0.66559999999999997</v>
      </c>
      <c r="L221" s="116">
        <f t="shared" si="32"/>
        <v>0.67349999999999999</v>
      </c>
      <c r="M221" s="116">
        <f t="shared" si="32"/>
        <v>0.67920000000000003</v>
      </c>
      <c r="N221" s="116">
        <f t="shared" si="32"/>
        <v>0.68489999999999995</v>
      </c>
      <c r="O221" s="116">
        <f t="shared" si="32"/>
        <v>0.69069999999999998</v>
      </c>
      <c r="P221" s="116">
        <f t="shared" si="32"/>
        <v>0.69650000000000001</v>
      </c>
      <c r="Q221" s="116">
        <f t="shared" si="32"/>
        <v>0.70240000000000002</v>
      </c>
      <c r="R221" s="116">
        <f t="shared" si="32"/>
        <v>0.70830000000000004</v>
      </c>
      <c r="S221" s="116">
        <f t="shared" si="32"/>
        <v>0.71419999999999995</v>
      </c>
      <c r="T221" s="116">
        <f t="shared" si="32"/>
        <v>0.72019999999999995</v>
      </c>
      <c r="U221" s="116">
        <f t="shared" si="32"/>
        <v>0.72619999999999996</v>
      </c>
      <c r="V221" s="116">
        <f t="shared" si="32"/>
        <v>0.73229999999999995</v>
      </c>
      <c r="W221" s="116">
        <f t="shared" si="32"/>
        <v>0.73740000000000006</v>
      </c>
      <c r="X221" s="116">
        <f t="shared" si="32"/>
        <v>0.74260000000000004</v>
      </c>
      <c r="Y221" s="116">
        <f t="shared" si="32"/>
        <v>0.74780000000000002</v>
      </c>
      <c r="Z221" s="116">
        <f t="shared" si="32"/>
        <v>0.753</v>
      </c>
      <c r="AA221" s="116">
        <f t="shared" si="32"/>
        <v>0.75829999999999997</v>
      </c>
      <c r="AB221" s="116">
        <f t="shared" si="32"/>
        <v>0.76359999999999995</v>
      </c>
      <c r="AC221" s="116">
        <f t="shared" si="32"/>
        <v>0.76890000000000003</v>
      </c>
      <c r="AD221" s="116">
        <f t="shared" si="32"/>
        <v>0.77429999999999999</v>
      </c>
      <c r="AE221" s="116">
        <f t="shared" si="32"/>
        <v>0.77969999999999995</v>
      </c>
      <c r="AF221" s="116">
        <f t="shared" si="32"/>
        <v>0.78520000000000001</v>
      </c>
      <c r="AG221" s="116">
        <f t="shared" si="32"/>
        <v>0.7923</v>
      </c>
      <c r="AH221" s="116">
        <f t="shared" si="32"/>
        <v>0.79949999999999999</v>
      </c>
      <c r="AI221" s="116">
        <f t="shared" si="32"/>
        <v>0.80679999999999996</v>
      </c>
      <c r="AJ221" s="116">
        <f t="shared" si="32"/>
        <v>0.81410000000000005</v>
      </c>
      <c r="AK221" s="116">
        <f t="shared" si="32"/>
        <v>0.82150000000000001</v>
      </c>
      <c r="AL221" s="116">
        <f t="shared" si="32"/>
        <v>0.82899999999999996</v>
      </c>
      <c r="AM221" s="116">
        <f t="shared" si="32"/>
        <v>0.83650000000000002</v>
      </c>
      <c r="AN221" s="116">
        <f t="shared" si="32"/>
        <v>0.84409999999999996</v>
      </c>
      <c r="AO221" s="116">
        <f t="shared" si="32"/>
        <v>0.8518</v>
      </c>
      <c r="AP221" s="116">
        <f t="shared" si="32"/>
        <v>0.85960000000000003</v>
      </c>
      <c r="AQ221" s="118">
        <f t="shared" si="29"/>
        <v>29.293097783674426</v>
      </c>
    </row>
    <row r="222" spans="2:43">
      <c r="B222" s="55" t="s">
        <v>431</v>
      </c>
      <c r="C222" s="116">
        <f>(6.67*0.01)/$C$27</f>
        <v>8.7001564495416961E-2</v>
      </c>
      <c r="D222" s="116">
        <f t="shared" ref="D222:AP222" si="33">ROUND(C222*(1+(0.7*D42)),4)</f>
        <v>8.8099999999999998E-2</v>
      </c>
      <c r="E222" s="116">
        <f t="shared" si="33"/>
        <v>8.8900000000000007E-2</v>
      </c>
      <c r="F222" s="116">
        <f t="shared" si="33"/>
        <v>0.09</v>
      </c>
      <c r="G222" s="116">
        <f t="shared" si="33"/>
        <v>9.1700000000000004E-2</v>
      </c>
      <c r="H222" s="116">
        <f t="shared" si="33"/>
        <v>9.2899999999999996E-2</v>
      </c>
      <c r="I222" s="116">
        <f t="shared" si="33"/>
        <v>9.4E-2</v>
      </c>
      <c r="J222" s="116">
        <f t="shared" si="33"/>
        <v>9.5100000000000004E-2</v>
      </c>
      <c r="K222" s="116">
        <f t="shared" si="33"/>
        <v>9.6199999999999994E-2</v>
      </c>
      <c r="L222" s="116">
        <f t="shared" si="33"/>
        <v>9.7299999999999998E-2</v>
      </c>
      <c r="M222" s="116">
        <f t="shared" si="33"/>
        <v>9.8100000000000007E-2</v>
      </c>
      <c r="N222" s="116">
        <f t="shared" si="33"/>
        <v>9.8900000000000002E-2</v>
      </c>
      <c r="O222" s="116">
        <f t="shared" si="33"/>
        <v>9.9699999999999997E-2</v>
      </c>
      <c r="P222" s="116">
        <f t="shared" si="33"/>
        <v>0.10050000000000001</v>
      </c>
      <c r="Q222" s="116">
        <f t="shared" si="33"/>
        <v>0.1013</v>
      </c>
      <c r="R222" s="116">
        <f t="shared" si="33"/>
        <v>0.1022</v>
      </c>
      <c r="S222" s="116">
        <f t="shared" si="33"/>
        <v>0.1031</v>
      </c>
      <c r="T222" s="116">
        <f t="shared" si="33"/>
        <v>0.104</v>
      </c>
      <c r="U222" s="116">
        <f t="shared" si="33"/>
        <v>0.10489999999999999</v>
      </c>
      <c r="V222" s="116">
        <f t="shared" si="33"/>
        <v>0.10580000000000001</v>
      </c>
      <c r="W222" s="116">
        <f t="shared" si="33"/>
        <v>0.1065</v>
      </c>
      <c r="X222" s="116">
        <f t="shared" si="33"/>
        <v>0.1072</v>
      </c>
      <c r="Y222" s="116">
        <f t="shared" si="33"/>
        <v>0.108</v>
      </c>
      <c r="Z222" s="116">
        <f t="shared" si="33"/>
        <v>0.10879999999999999</v>
      </c>
      <c r="AA222" s="116">
        <f t="shared" si="33"/>
        <v>0.1096</v>
      </c>
      <c r="AB222" s="116">
        <f t="shared" si="33"/>
        <v>0.1104</v>
      </c>
      <c r="AC222" s="116">
        <f t="shared" si="33"/>
        <v>0.11119999999999999</v>
      </c>
      <c r="AD222" s="116">
        <f t="shared" si="33"/>
        <v>0.112</v>
      </c>
      <c r="AE222" s="116">
        <f t="shared" si="33"/>
        <v>0.1128</v>
      </c>
      <c r="AF222" s="116">
        <f t="shared" si="33"/>
        <v>0.11360000000000001</v>
      </c>
      <c r="AG222" s="116">
        <f t="shared" si="33"/>
        <v>0.11459999999999999</v>
      </c>
      <c r="AH222" s="116">
        <f t="shared" si="33"/>
        <v>0.11559999999999999</v>
      </c>
      <c r="AI222" s="116">
        <f t="shared" si="33"/>
        <v>0.1167</v>
      </c>
      <c r="AJ222" s="116">
        <f t="shared" si="33"/>
        <v>0.1178</v>
      </c>
      <c r="AK222" s="116">
        <f t="shared" si="33"/>
        <v>0.11890000000000001</v>
      </c>
      <c r="AL222" s="116">
        <f t="shared" si="33"/>
        <v>0.12</v>
      </c>
      <c r="AM222" s="116">
        <f t="shared" si="33"/>
        <v>0.1211</v>
      </c>
      <c r="AN222" s="116">
        <f t="shared" si="33"/>
        <v>0.1222</v>
      </c>
      <c r="AO222" s="116">
        <f t="shared" si="33"/>
        <v>0.12330000000000001</v>
      </c>
      <c r="AP222" s="116">
        <f t="shared" si="33"/>
        <v>0.1244</v>
      </c>
      <c r="AQ222" s="118">
        <f t="shared" si="29"/>
        <v>4.2344015644954167</v>
      </c>
    </row>
    <row r="223" spans="2:43">
      <c r="B223" s="1" t="s">
        <v>508</v>
      </c>
    </row>
    <row r="226" spans="2:8" ht="27.75">
      <c r="B226" s="197" t="s">
        <v>433</v>
      </c>
    </row>
    <row r="229" spans="2:8" ht="25.5" customHeight="1">
      <c r="B229" s="877" t="s">
        <v>414</v>
      </c>
      <c r="C229" s="878"/>
      <c r="D229" s="15"/>
      <c r="E229" s="15"/>
      <c r="F229" s="15"/>
      <c r="G229" s="15"/>
      <c r="H229" s="15"/>
    </row>
    <row r="230" spans="2:8" ht="17.25" customHeight="1">
      <c r="B230" s="184" t="s">
        <v>113</v>
      </c>
      <c r="C230" s="84" t="s">
        <v>114</v>
      </c>
    </row>
    <row r="231" spans="2:8">
      <c r="B231" s="3" t="s">
        <v>104</v>
      </c>
      <c r="C231" s="92">
        <f>4.7/$C$27</f>
        <v>6.1305450244146895</v>
      </c>
      <c r="E231" s="2" t="s">
        <v>115</v>
      </c>
    </row>
    <row r="232" spans="2:8">
      <c r="B232" s="3" t="s">
        <v>105</v>
      </c>
      <c r="C232" s="92">
        <f>3.6/$C$27</f>
        <v>4.6957366144452939</v>
      </c>
      <c r="E232" s="2" t="s">
        <v>434</v>
      </c>
    </row>
    <row r="233" spans="2:8">
      <c r="B233" s="3" t="s">
        <v>106</v>
      </c>
      <c r="C233" s="92">
        <f>150/$C$27</f>
        <v>195.65569226855391</v>
      </c>
    </row>
    <row r="234" spans="2:8">
      <c r="B234" s="3" t="s">
        <v>107</v>
      </c>
      <c r="C234" s="92">
        <f>3.9/$C$27</f>
        <v>5.0870479989824018</v>
      </c>
    </row>
    <row r="235" spans="2:8">
      <c r="B235" s="3" t="s">
        <v>108</v>
      </c>
      <c r="C235" s="92">
        <f>3.2/$C$27</f>
        <v>4.17398810172915</v>
      </c>
    </row>
    <row r="236" spans="2:8">
      <c r="B236" s="3" t="s">
        <v>109</v>
      </c>
      <c r="C236" s="92">
        <f>130.9/$C$27</f>
        <v>170.74220078635807</v>
      </c>
    </row>
    <row r="237" spans="2:8">
      <c r="B237" s="3" t="s">
        <v>110</v>
      </c>
      <c r="C237" s="92">
        <f>2.1/$C$27</f>
        <v>2.7391796917597548</v>
      </c>
    </row>
    <row r="238" spans="2:8">
      <c r="B238" s="3" t="s">
        <v>111</v>
      </c>
      <c r="C238" s="92">
        <f>1/$C$27</f>
        <v>1.3043712817903594</v>
      </c>
    </row>
    <row r="239" spans="2:8">
      <c r="B239" s="3" t="s">
        <v>112</v>
      </c>
      <c r="C239" s="92">
        <f>20.4/$C$27</f>
        <v>26.60917414852333</v>
      </c>
    </row>
    <row r="240" spans="2:8">
      <c r="B240" s="3" t="s">
        <v>103</v>
      </c>
      <c r="C240" s="92">
        <f>35/$C$27</f>
        <v>45.652994862662581</v>
      </c>
    </row>
    <row r="241" spans="2:123">
      <c r="B241" s="1" t="s">
        <v>512</v>
      </c>
      <c r="C241" s="89"/>
    </row>
    <row r="243" spans="2:123" ht="17.25" customHeight="1">
      <c r="B243" s="889" t="s">
        <v>124</v>
      </c>
      <c r="C243" s="889"/>
    </row>
    <row r="244" spans="2:123">
      <c r="B244" s="3" t="s">
        <v>83</v>
      </c>
      <c r="C244" s="88">
        <v>1.4</v>
      </c>
    </row>
    <row r="245" spans="2:123">
      <c r="B245" s="3" t="s">
        <v>125</v>
      </c>
      <c r="C245" s="91">
        <v>22</v>
      </c>
    </row>
    <row r="246" spans="2:123">
      <c r="B246" s="1" t="s">
        <v>91</v>
      </c>
    </row>
    <row r="248" spans="2:123" ht="34.5" customHeight="1">
      <c r="B248" s="196" t="s">
        <v>138</v>
      </c>
      <c r="C248" s="149" t="s">
        <v>137</v>
      </c>
    </row>
    <row r="249" spans="2:123">
      <c r="B249" s="3" t="s">
        <v>135</v>
      </c>
      <c r="C249" s="75">
        <v>0.44</v>
      </c>
    </row>
    <row r="250" spans="2:123">
      <c r="B250" s="3" t="s">
        <v>136</v>
      </c>
      <c r="C250" s="75">
        <v>0.56000000000000005</v>
      </c>
    </row>
    <row r="251" spans="2:123">
      <c r="B251" s="3" t="s">
        <v>139</v>
      </c>
      <c r="C251" s="18">
        <v>17.5</v>
      </c>
    </row>
    <row r="252" spans="2:123">
      <c r="B252" s="3" t="s">
        <v>140</v>
      </c>
      <c r="C252" s="18">
        <v>1.96</v>
      </c>
      <c r="E252" s="2" t="s">
        <v>150</v>
      </c>
    </row>
    <row r="253" spans="2:123">
      <c r="B253" s="1" t="s">
        <v>91</v>
      </c>
    </row>
    <row r="255" spans="2:123" ht="22.5">
      <c r="B255" s="196" t="s">
        <v>151</v>
      </c>
      <c r="C255" s="78" t="s">
        <v>141</v>
      </c>
      <c r="D255" s="76"/>
      <c r="E255" s="76"/>
      <c r="F255" s="76"/>
      <c r="G255" s="76"/>
      <c r="H255" s="76"/>
      <c r="I255" s="76"/>
      <c r="J255" s="76"/>
      <c r="K255" s="76"/>
      <c r="L255" s="76"/>
      <c r="M255" s="76"/>
      <c r="N255" s="76"/>
      <c r="O255" s="76"/>
      <c r="P255" s="76"/>
      <c r="Q255" s="76"/>
      <c r="R255" s="76"/>
      <c r="S255" s="76"/>
      <c r="T255" s="76"/>
      <c r="U255" s="76"/>
      <c r="V255" s="76"/>
      <c r="W255" s="76"/>
      <c r="X255" s="76"/>
      <c r="Y255" s="76"/>
      <c r="Z255" s="76"/>
      <c r="AA255" s="76"/>
      <c r="AB255" s="76"/>
      <c r="AC255" s="76"/>
      <c r="AD255" s="76"/>
      <c r="AE255" s="76"/>
      <c r="AF255" s="76"/>
      <c r="AG255" s="76"/>
      <c r="AH255" s="76"/>
      <c r="AI255" s="76"/>
      <c r="AJ255" s="76"/>
      <c r="AK255" s="76"/>
      <c r="AL255" s="76"/>
      <c r="AM255" s="76"/>
      <c r="AN255" s="76"/>
      <c r="AO255" s="76"/>
      <c r="AP255" s="76"/>
      <c r="AQ255" s="76"/>
      <c r="AR255" s="76"/>
      <c r="AS255" s="76"/>
      <c r="AT255" s="76"/>
      <c r="AU255" s="76"/>
      <c r="AV255" s="76"/>
      <c r="AW255" s="76"/>
      <c r="AX255" s="76"/>
      <c r="AY255" s="76"/>
      <c r="AZ255" s="76"/>
      <c r="BA255" s="76"/>
      <c r="BB255" s="76"/>
      <c r="BC255" s="76"/>
      <c r="BD255" s="76"/>
      <c r="BE255" s="76"/>
      <c r="BF255" s="76"/>
      <c r="BG255" s="76"/>
      <c r="BH255" s="76"/>
      <c r="BI255" s="76"/>
      <c r="BJ255" s="76"/>
      <c r="BK255" s="76"/>
      <c r="BL255" s="76"/>
      <c r="BM255" s="76"/>
      <c r="BN255" s="76"/>
      <c r="BO255" s="76"/>
      <c r="BP255" s="76"/>
      <c r="BQ255" s="76"/>
      <c r="BR255" s="76"/>
      <c r="BS255" s="76"/>
      <c r="BT255" s="76"/>
      <c r="BU255" s="76"/>
      <c r="BV255" s="76"/>
      <c r="BW255" s="76"/>
      <c r="BX255" s="76"/>
      <c r="BY255" s="76"/>
      <c r="BZ255" s="76"/>
      <c r="CA255" s="76"/>
      <c r="CB255" s="76"/>
      <c r="CC255" s="76"/>
      <c r="CD255" s="76"/>
      <c r="CE255" s="76"/>
      <c r="CF255" s="76"/>
      <c r="CG255" s="76"/>
      <c r="CH255" s="76"/>
      <c r="CI255" s="76"/>
      <c r="CJ255" s="76"/>
      <c r="CK255" s="76"/>
      <c r="CL255" s="76"/>
      <c r="CM255" s="76"/>
      <c r="CN255" s="76"/>
      <c r="CO255" s="76"/>
      <c r="CP255" s="76"/>
      <c r="CQ255" s="76"/>
      <c r="CR255" s="76"/>
      <c r="CS255" s="76"/>
      <c r="CT255" s="76"/>
      <c r="CU255" s="76"/>
      <c r="CV255" s="76"/>
      <c r="CW255" s="76"/>
      <c r="CX255" s="76"/>
      <c r="CY255" s="76"/>
      <c r="CZ255" s="76"/>
      <c r="DA255" s="76"/>
      <c r="DB255" s="76"/>
      <c r="DC255" s="76"/>
      <c r="DD255" s="76"/>
      <c r="DE255" s="76"/>
      <c r="DF255" s="76"/>
      <c r="DG255" s="76"/>
      <c r="DH255" s="76"/>
      <c r="DI255" s="76"/>
      <c r="DJ255" s="76"/>
      <c r="DK255" s="76"/>
      <c r="DL255" s="76"/>
      <c r="DM255" s="76"/>
      <c r="DN255" s="76"/>
      <c r="DO255" s="76"/>
      <c r="DP255" s="76"/>
      <c r="DQ255" s="76"/>
      <c r="DR255" s="76"/>
      <c r="DS255" s="77"/>
    </row>
    <row r="256" spans="2:123" ht="17.25" customHeight="1">
      <c r="B256" s="96" t="s">
        <v>116</v>
      </c>
      <c r="C256" s="84">
        <v>10</v>
      </c>
      <c r="D256" s="84">
        <v>11</v>
      </c>
      <c r="E256" s="84">
        <v>12</v>
      </c>
      <c r="F256" s="84">
        <v>13</v>
      </c>
      <c r="G256" s="84">
        <v>14</v>
      </c>
      <c r="H256" s="84">
        <v>15</v>
      </c>
      <c r="I256" s="84">
        <v>16</v>
      </c>
      <c r="J256" s="84">
        <v>17</v>
      </c>
      <c r="K256" s="84">
        <v>18</v>
      </c>
      <c r="L256" s="84">
        <v>19</v>
      </c>
      <c r="M256" s="84">
        <v>20</v>
      </c>
      <c r="N256" s="84">
        <v>21</v>
      </c>
      <c r="O256" s="84">
        <v>22</v>
      </c>
      <c r="P256" s="84">
        <v>23</v>
      </c>
      <c r="Q256" s="84">
        <v>24</v>
      </c>
      <c r="R256" s="84">
        <v>25</v>
      </c>
      <c r="S256" s="84">
        <v>26</v>
      </c>
      <c r="T256" s="84">
        <v>27</v>
      </c>
      <c r="U256" s="84">
        <v>28</v>
      </c>
      <c r="V256" s="84">
        <v>29</v>
      </c>
      <c r="W256" s="84">
        <v>30</v>
      </c>
      <c r="X256" s="84">
        <v>31</v>
      </c>
      <c r="Y256" s="84">
        <v>32</v>
      </c>
      <c r="Z256" s="84">
        <v>33</v>
      </c>
      <c r="AA256" s="84">
        <v>34</v>
      </c>
      <c r="AB256" s="84">
        <v>35</v>
      </c>
      <c r="AC256" s="84">
        <v>36</v>
      </c>
      <c r="AD256" s="84">
        <v>37</v>
      </c>
      <c r="AE256" s="84">
        <v>38</v>
      </c>
      <c r="AF256" s="84">
        <v>39</v>
      </c>
      <c r="AG256" s="84">
        <v>40</v>
      </c>
      <c r="AH256" s="84">
        <v>41</v>
      </c>
      <c r="AI256" s="84">
        <v>42</v>
      </c>
      <c r="AJ256" s="84">
        <v>43</v>
      </c>
      <c r="AK256" s="84">
        <v>44</v>
      </c>
      <c r="AL256" s="84">
        <v>45</v>
      </c>
      <c r="AM256" s="84">
        <v>46</v>
      </c>
      <c r="AN256" s="84">
        <v>47</v>
      </c>
      <c r="AO256" s="84">
        <v>48</v>
      </c>
      <c r="AP256" s="84">
        <v>49</v>
      </c>
      <c r="AQ256" s="84">
        <v>50</v>
      </c>
      <c r="AR256" s="84">
        <v>51</v>
      </c>
      <c r="AS256" s="84">
        <v>52</v>
      </c>
      <c r="AT256" s="84">
        <v>53</v>
      </c>
      <c r="AU256" s="84">
        <v>54</v>
      </c>
      <c r="AV256" s="84">
        <v>55</v>
      </c>
      <c r="AW256" s="84">
        <v>56</v>
      </c>
      <c r="AX256" s="84">
        <v>57</v>
      </c>
      <c r="AY256" s="84">
        <v>58</v>
      </c>
      <c r="AZ256" s="84">
        <v>59</v>
      </c>
      <c r="BA256" s="84">
        <v>60</v>
      </c>
      <c r="BB256" s="84">
        <v>61</v>
      </c>
      <c r="BC256" s="84">
        <v>62</v>
      </c>
      <c r="BD256" s="84">
        <v>63</v>
      </c>
      <c r="BE256" s="84">
        <v>64</v>
      </c>
      <c r="BF256" s="84">
        <v>65</v>
      </c>
      <c r="BG256" s="84">
        <v>66</v>
      </c>
      <c r="BH256" s="84">
        <v>67</v>
      </c>
      <c r="BI256" s="84">
        <v>68</v>
      </c>
      <c r="BJ256" s="84">
        <v>69</v>
      </c>
      <c r="BK256" s="84">
        <v>70</v>
      </c>
      <c r="BL256" s="84">
        <v>71</v>
      </c>
      <c r="BM256" s="84">
        <v>72</v>
      </c>
      <c r="BN256" s="84">
        <v>73</v>
      </c>
      <c r="BO256" s="84">
        <v>74</v>
      </c>
      <c r="BP256" s="84">
        <v>75</v>
      </c>
      <c r="BQ256" s="84">
        <v>76</v>
      </c>
      <c r="BR256" s="84">
        <v>77</v>
      </c>
      <c r="BS256" s="84">
        <v>78</v>
      </c>
      <c r="BT256" s="84">
        <v>79</v>
      </c>
      <c r="BU256" s="84">
        <v>80</v>
      </c>
      <c r="BV256" s="84">
        <v>81</v>
      </c>
      <c r="BW256" s="84">
        <v>82</v>
      </c>
      <c r="BX256" s="84">
        <v>83</v>
      </c>
      <c r="BY256" s="84">
        <v>84</v>
      </c>
      <c r="BZ256" s="84">
        <v>85</v>
      </c>
      <c r="CA256" s="84">
        <v>86</v>
      </c>
      <c r="CB256" s="84">
        <v>87</v>
      </c>
      <c r="CC256" s="84">
        <v>88</v>
      </c>
      <c r="CD256" s="84">
        <v>89</v>
      </c>
      <c r="CE256" s="84">
        <v>90</v>
      </c>
      <c r="CF256" s="84">
        <v>91</v>
      </c>
      <c r="CG256" s="84">
        <v>92</v>
      </c>
      <c r="CH256" s="84">
        <v>93</v>
      </c>
      <c r="CI256" s="84">
        <v>94</v>
      </c>
      <c r="CJ256" s="84">
        <v>95</v>
      </c>
      <c r="CK256" s="84">
        <v>96</v>
      </c>
      <c r="CL256" s="84">
        <v>97</v>
      </c>
      <c r="CM256" s="84">
        <v>98</v>
      </c>
      <c r="CN256" s="84">
        <v>99</v>
      </c>
      <c r="CO256" s="84">
        <v>100</v>
      </c>
      <c r="CP256" s="84">
        <v>101</v>
      </c>
      <c r="CQ256" s="84">
        <v>102</v>
      </c>
      <c r="CR256" s="84">
        <v>103</v>
      </c>
      <c r="CS256" s="84">
        <v>104</v>
      </c>
      <c r="CT256" s="84">
        <v>105</v>
      </c>
      <c r="CU256" s="84">
        <v>106</v>
      </c>
      <c r="CV256" s="84">
        <v>107</v>
      </c>
      <c r="CW256" s="84">
        <v>108</v>
      </c>
      <c r="CX256" s="84">
        <v>109</v>
      </c>
      <c r="CY256" s="84">
        <v>110</v>
      </c>
      <c r="CZ256" s="84">
        <v>111</v>
      </c>
      <c r="DA256" s="84">
        <v>112</v>
      </c>
      <c r="DB256" s="84">
        <v>113</v>
      </c>
      <c r="DC256" s="84">
        <v>114</v>
      </c>
      <c r="DD256" s="84">
        <v>115</v>
      </c>
      <c r="DE256" s="84">
        <v>116</v>
      </c>
      <c r="DF256" s="84">
        <v>117</v>
      </c>
      <c r="DG256" s="84">
        <v>118</v>
      </c>
      <c r="DH256" s="84">
        <v>119</v>
      </c>
      <c r="DI256" s="84">
        <v>120</v>
      </c>
      <c r="DJ256" s="84">
        <v>121</v>
      </c>
      <c r="DK256" s="84">
        <v>122</v>
      </c>
      <c r="DL256" s="84">
        <v>123</v>
      </c>
      <c r="DM256" s="84">
        <v>124</v>
      </c>
      <c r="DN256" s="84">
        <v>125</v>
      </c>
      <c r="DO256" s="84">
        <v>126</v>
      </c>
      <c r="DP256" s="84">
        <v>127</v>
      </c>
      <c r="DQ256" s="84">
        <v>128</v>
      </c>
      <c r="DR256" s="84">
        <v>129</v>
      </c>
      <c r="DS256" s="84">
        <v>130</v>
      </c>
    </row>
    <row r="257" spans="2:123">
      <c r="B257" s="3" t="s">
        <v>142</v>
      </c>
      <c r="C257" s="79">
        <v>0.121</v>
      </c>
      <c r="D257" s="80">
        <f t="shared" ref="D257:L257" si="34">C257+($M$257-$C$257)/10</f>
        <v>0.1191</v>
      </c>
      <c r="E257" s="80">
        <f t="shared" si="34"/>
        <v>0.1172</v>
      </c>
      <c r="F257" s="80">
        <f t="shared" si="34"/>
        <v>0.1153</v>
      </c>
      <c r="G257" s="80">
        <f t="shared" si="34"/>
        <v>0.1134</v>
      </c>
      <c r="H257" s="80">
        <f t="shared" si="34"/>
        <v>0.1115</v>
      </c>
      <c r="I257" s="80">
        <f t="shared" si="34"/>
        <v>0.1096</v>
      </c>
      <c r="J257" s="80">
        <f t="shared" si="34"/>
        <v>0.1077</v>
      </c>
      <c r="K257" s="80">
        <f t="shared" si="34"/>
        <v>0.10580000000000001</v>
      </c>
      <c r="L257" s="80">
        <f t="shared" si="34"/>
        <v>0.10390000000000001</v>
      </c>
      <c r="M257" s="79">
        <v>0.10199999999999999</v>
      </c>
      <c r="N257" s="80">
        <f t="shared" ref="N257:V257" si="35">M257+($W$257-$M$257)/10</f>
        <v>0.10049999999999999</v>
      </c>
      <c r="O257" s="80">
        <f t="shared" si="35"/>
        <v>9.8999999999999991E-2</v>
      </c>
      <c r="P257" s="80">
        <f t="shared" si="35"/>
        <v>9.7499999999999989E-2</v>
      </c>
      <c r="Q257" s="80">
        <f t="shared" si="35"/>
        <v>9.5999999999999988E-2</v>
      </c>
      <c r="R257" s="80">
        <f t="shared" si="35"/>
        <v>9.4499999999999987E-2</v>
      </c>
      <c r="S257" s="80">
        <f t="shared" si="35"/>
        <v>9.2999999999999985E-2</v>
      </c>
      <c r="T257" s="80">
        <f t="shared" si="35"/>
        <v>9.1499999999999984E-2</v>
      </c>
      <c r="U257" s="80">
        <f t="shared" si="35"/>
        <v>8.9999999999999983E-2</v>
      </c>
      <c r="V257" s="80">
        <f t="shared" si="35"/>
        <v>8.8499999999999981E-2</v>
      </c>
      <c r="W257" s="79">
        <v>8.6999999999999994E-2</v>
      </c>
      <c r="X257" s="80">
        <f t="shared" ref="X257:AF257" si="36">W257+($AG$257-$W$257)/10</f>
        <v>8.5799999999999987E-2</v>
      </c>
      <c r="Y257" s="80">
        <f t="shared" si="36"/>
        <v>8.4599999999999981E-2</v>
      </c>
      <c r="Z257" s="80">
        <f t="shared" si="36"/>
        <v>8.3399999999999974E-2</v>
      </c>
      <c r="AA257" s="80">
        <f t="shared" si="36"/>
        <v>8.2199999999999968E-2</v>
      </c>
      <c r="AB257" s="80">
        <f t="shared" si="36"/>
        <v>8.0999999999999961E-2</v>
      </c>
      <c r="AC257" s="80">
        <f t="shared" si="36"/>
        <v>7.9799999999999954E-2</v>
      </c>
      <c r="AD257" s="80">
        <f t="shared" si="36"/>
        <v>7.8599999999999948E-2</v>
      </c>
      <c r="AE257" s="80">
        <f t="shared" si="36"/>
        <v>7.7399999999999941E-2</v>
      </c>
      <c r="AF257" s="80">
        <f t="shared" si="36"/>
        <v>7.6199999999999934E-2</v>
      </c>
      <c r="AG257" s="79">
        <v>7.4999999999999997E-2</v>
      </c>
      <c r="AH257" s="80">
        <f t="shared" ref="AH257:AP257" si="37">AG257+($AQ$257-$AG$257)/10</f>
        <v>7.4099999999999999E-2</v>
      </c>
      <c r="AI257" s="80">
        <f t="shared" si="37"/>
        <v>7.3200000000000001E-2</v>
      </c>
      <c r="AJ257" s="80">
        <f t="shared" si="37"/>
        <v>7.2300000000000003E-2</v>
      </c>
      <c r="AK257" s="80">
        <f t="shared" si="37"/>
        <v>7.1400000000000005E-2</v>
      </c>
      <c r="AL257" s="80">
        <f t="shared" si="37"/>
        <v>7.0500000000000007E-2</v>
      </c>
      <c r="AM257" s="80">
        <f t="shared" si="37"/>
        <v>6.9600000000000009E-2</v>
      </c>
      <c r="AN257" s="80">
        <f t="shared" si="37"/>
        <v>6.8700000000000011E-2</v>
      </c>
      <c r="AO257" s="80">
        <f t="shared" si="37"/>
        <v>6.7800000000000013E-2</v>
      </c>
      <c r="AP257" s="80">
        <f t="shared" si="37"/>
        <v>6.6900000000000015E-2</v>
      </c>
      <c r="AQ257" s="79">
        <v>6.6000000000000003E-2</v>
      </c>
      <c r="AR257" s="80">
        <f t="shared" ref="AR257:AZ257" si="38">AQ257+($BA$257-$AQ$257)/10</f>
        <v>6.54E-2</v>
      </c>
      <c r="AS257" s="80">
        <f t="shared" si="38"/>
        <v>6.4799999999999996E-2</v>
      </c>
      <c r="AT257" s="80">
        <f t="shared" si="38"/>
        <v>6.4199999999999993E-2</v>
      </c>
      <c r="AU257" s="80">
        <f t="shared" si="38"/>
        <v>6.359999999999999E-2</v>
      </c>
      <c r="AV257" s="80">
        <f t="shared" si="38"/>
        <v>6.2999999999999987E-2</v>
      </c>
      <c r="AW257" s="80">
        <f t="shared" si="38"/>
        <v>6.2399999999999983E-2</v>
      </c>
      <c r="AX257" s="80">
        <f t="shared" si="38"/>
        <v>6.179999999999998E-2</v>
      </c>
      <c r="AY257" s="80">
        <f t="shared" si="38"/>
        <v>6.1199999999999977E-2</v>
      </c>
      <c r="AZ257" s="80">
        <f t="shared" si="38"/>
        <v>6.0599999999999973E-2</v>
      </c>
      <c r="BA257" s="79">
        <v>0.06</v>
      </c>
      <c r="BB257" s="80">
        <f t="shared" ref="BB257:BJ257" si="39">BA257+($BK$257-$BA$257)/10</f>
        <v>5.9799999999999999E-2</v>
      </c>
      <c r="BC257" s="80">
        <f t="shared" si="39"/>
        <v>5.96E-2</v>
      </c>
      <c r="BD257" s="80">
        <f t="shared" si="39"/>
        <v>5.9400000000000001E-2</v>
      </c>
      <c r="BE257" s="80">
        <f t="shared" si="39"/>
        <v>5.9200000000000003E-2</v>
      </c>
      <c r="BF257" s="80">
        <f t="shared" si="39"/>
        <v>5.9000000000000004E-2</v>
      </c>
      <c r="BG257" s="80">
        <f t="shared" si="39"/>
        <v>5.8800000000000005E-2</v>
      </c>
      <c r="BH257" s="80">
        <f t="shared" si="39"/>
        <v>5.8600000000000006E-2</v>
      </c>
      <c r="BI257" s="80">
        <f t="shared" si="39"/>
        <v>5.8400000000000007E-2</v>
      </c>
      <c r="BJ257" s="80">
        <f t="shared" si="39"/>
        <v>5.8200000000000009E-2</v>
      </c>
      <c r="BK257" s="79">
        <v>5.8000000000000003E-2</v>
      </c>
      <c r="BL257" s="80">
        <f t="shared" ref="BL257:BT257" si="40">BK257+($BU$257-$BK$257)/10</f>
        <v>5.8099999999999999E-2</v>
      </c>
      <c r="BM257" s="80">
        <f t="shared" si="40"/>
        <v>5.8200000000000002E-2</v>
      </c>
      <c r="BN257" s="80">
        <f t="shared" si="40"/>
        <v>5.8300000000000005E-2</v>
      </c>
      <c r="BO257" s="80">
        <f t="shared" si="40"/>
        <v>5.8400000000000007E-2</v>
      </c>
      <c r="BP257" s="80">
        <f t="shared" si="40"/>
        <v>5.850000000000001E-2</v>
      </c>
      <c r="BQ257" s="80">
        <f t="shared" si="40"/>
        <v>5.8600000000000013E-2</v>
      </c>
      <c r="BR257" s="80">
        <f t="shared" si="40"/>
        <v>5.8700000000000016E-2</v>
      </c>
      <c r="BS257" s="80">
        <f t="shared" si="40"/>
        <v>5.8800000000000019E-2</v>
      </c>
      <c r="BT257" s="80">
        <f t="shared" si="40"/>
        <v>5.8900000000000022E-2</v>
      </c>
      <c r="BU257" s="79">
        <v>5.8999999999999997E-2</v>
      </c>
      <c r="BV257" s="80">
        <f t="shared" ref="BV257:CD257" si="41">BU257+($CE$257-$BU$257)/10</f>
        <v>5.9399999999999994E-2</v>
      </c>
      <c r="BW257" s="80">
        <f t="shared" si="41"/>
        <v>5.9799999999999992E-2</v>
      </c>
      <c r="BX257" s="80">
        <f t="shared" si="41"/>
        <v>6.019999999999999E-2</v>
      </c>
      <c r="BY257" s="80">
        <f t="shared" si="41"/>
        <v>6.0599999999999987E-2</v>
      </c>
      <c r="BZ257" s="80">
        <f t="shared" si="41"/>
        <v>6.0999999999999985E-2</v>
      </c>
      <c r="CA257" s="80">
        <f t="shared" si="41"/>
        <v>6.1399999999999982E-2</v>
      </c>
      <c r="CB257" s="80">
        <f t="shared" si="41"/>
        <v>6.179999999999998E-2</v>
      </c>
      <c r="CC257" s="80">
        <f t="shared" si="41"/>
        <v>6.2199999999999978E-2</v>
      </c>
      <c r="CD257" s="80">
        <f t="shared" si="41"/>
        <v>6.2599999999999975E-2</v>
      </c>
      <c r="CE257" s="79">
        <v>6.3E-2</v>
      </c>
      <c r="CF257" s="80">
        <f t="shared" ref="CF257:CN257" si="42">CE257+($CO$257-$CE$257)/10</f>
        <v>6.3700000000000007E-2</v>
      </c>
      <c r="CG257" s="80">
        <f t="shared" si="42"/>
        <v>6.4400000000000013E-2</v>
      </c>
      <c r="CH257" s="80">
        <f t="shared" si="42"/>
        <v>6.5100000000000019E-2</v>
      </c>
      <c r="CI257" s="80">
        <f t="shared" si="42"/>
        <v>6.5800000000000025E-2</v>
      </c>
      <c r="CJ257" s="80">
        <f t="shared" si="42"/>
        <v>6.6500000000000031E-2</v>
      </c>
      <c r="CK257" s="80">
        <f t="shared" si="42"/>
        <v>6.7200000000000037E-2</v>
      </c>
      <c r="CL257" s="80">
        <f t="shared" si="42"/>
        <v>6.7900000000000044E-2</v>
      </c>
      <c r="CM257" s="80">
        <f t="shared" si="42"/>
        <v>6.860000000000005E-2</v>
      </c>
      <c r="CN257" s="80">
        <f t="shared" si="42"/>
        <v>6.9300000000000056E-2</v>
      </c>
      <c r="CO257" s="79">
        <v>7.0000000000000007E-2</v>
      </c>
      <c r="CP257" s="80">
        <f t="shared" ref="CP257:CX257" si="43">CO257+($CY$257-$CO$257)/10</f>
        <v>7.110000000000001E-2</v>
      </c>
      <c r="CQ257" s="80">
        <f t="shared" si="43"/>
        <v>7.2200000000000014E-2</v>
      </c>
      <c r="CR257" s="80">
        <f t="shared" si="43"/>
        <v>7.3300000000000018E-2</v>
      </c>
      <c r="CS257" s="80">
        <f t="shared" si="43"/>
        <v>7.4400000000000022E-2</v>
      </c>
      <c r="CT257" s="80">
        <f t="shared" si="43"/>
        <v>7.5500000000000025E-2</v>
      </c>
      <c r="CU257" s="80">
        <f t="shared" si="43"/>
        <v>7.6600000000000029E-2</v>
      </c>
      <c r="CV257" s="80">
        <f t="shared" si="43"/>
        <v>7.7700000000000033E-2</v>
      </c>
      <c r="CW257" s="80">
        <f t="shared" si="43"/>
        <v>7.8800000000000037E-2</v>
      </c>
      <c r="CX257" s="80">
        <f t="shared" si="43"/>
        <v>7.990000000000004E-2</v>
      </c>
      <c r="CY257" s="79">
        <v>8.1000000000000003E-2</v>
      </c>
      <c r="CZ257" s="80">
        <f t="shared" ref="CZ257:DH257" si="44">CY257+($DI$257-$CY$257)/10</f>
        <v>8.2400000000000001E-2</v>
      </c>
      <c r="DA257" s="80">
        <f t="shared" si="44"/>
        <v>8.3799999999999999E-2</v>
      </c>
      <c r="DB257" s="80">
        <f t="shared" si="44"/>
        <v>8.5199999999999998E-2</v>
      </c>
      <c r="DC257" s="80">
        <f t="shared" si="44"/>
        <v>8.6599999999999996E-2</v>
      </c>
      <c r="DD257" s="80">
        <f t="shared" si="44"/>
        <v>8.7999999999999995E-2</v>
      </c>
      <c r="DE257" s="80">
        <f t="shared" si="44"/>
        <v>8.9399999999999993E-2</v>
      </c>
      <c r="DF257" s="80">
        <f t="shared" si="44"/>
        <v>9.0799999999999992E-2</v>
      </c>
      <c r="DG257" s="80">
        <f t="shared" si="44"/>
        <v>9.219999999999999E-2</v>
      </c>
      <c r="DH257" s="80">
        <f t="shared" si="44"/>
        <v>9.3599999999999989E-2</v>
      </c>
      <c r="DI257" s="79">
        <v>9.5000000000000001E-2</v>
      </c>
      <c r="DJ257" s="80">
        <f t="shared" ref="DJ257:DR257" si="45">DI257+($DS$257-$DI$257)/10</f>
        <v>9.6700000000000008E-2</v>
      </c>
      <c r="DK257" s="80">
        <f t="shared" si="45"/>
        <v>9.8400000000000015E-2</v>
      </c>
      <c r="DL257" s="80">
        <f t="shared" si="45"/>
        <v>0.10010000000000002</v>
      </c>
      <c r="DM257" s="80">
        <f t="shared" si="45"/>
        <v>0.10180000000000003</v>
      </c>
      <c r="DN257" s="80">
        <f t="shared" si="45"/>
        <v>0.10350000000000004</v>
      </c>
      <c r="DO257" s="80">
        <f t="shared" si="45"/>
        <v>0.10520000000000004</v>
      </c>
      <c r="DP257" s="80">
        <f t="shared" si="45"/>
        <v>0.10690000000000005</v>
      </c>
      <c r="DQ257" s="80">
        <f t="shared" si="45"/>
        <v>0.10860000000000006</v>
      </c>
      <c r="DR257" s="80">
        <f t="shared" si="45"/>
        <v>0.11030000000000006</v>
      </c>
      <c r="DS257" s="79">
        <v>0.112</v>
      </c>
    </row>
    <row r="258" spans="2:123">
      <c r="B258" s="3" t="s">
        <v>143</v>
      </c>
      <c r="C258" s="79">
        <v>0.111</v>
      </c>
      <c r="D258" s="80">
        <f t="shared" ref="D258:L258" si="46">C258+($M$258-$C$258)/10</f>
        <v>0.1091</v>
      </c>
      <c r="E258" s="80">
        <f t="shared" si="46"/>
        <v>0.1072</v>
      </c>
      <c r="F258" s="80">
        <f t="shared" si="46"/>
        <v>0.1053</v>
      </c>
      <c r="G258" s="80">
        <f t="shared" si="46"/>
        <v>0.10340000000000001</v>
      </c>
      <c r="H258" s="80">
        <f t="shared" si="46"/>
        <v>0.10150000000000001</v>
      </c>
      <c r="I258" s="80">
        <f t="shared" si="46"/>
        <v>9.9600000000000008E-2</v>
      </c>
      <c r="J258" s="80">
        <f t="shared" si="46"/>
        <v>9.7700000000000009E-2</v>
      </c>
      <c r="K258" s="80">
        <f t="shared" si="46"/>
        <v>9.580000000000001E-2</v>
      </c>
      <c r="L258" s="80">
        <f t="shared" si="46"/>
        <v>9.3900000000000011E-2</v>
      </c>
      <c r="M258" s="79">
        <v>9.1999999999999998E-2</v>
      </c>
      <c r="N258" s="80">
        <f t="shared" ref="N258:V258" si="47">M258+($W$258-$M$258)/10</f>
        <v>9.0499999999999997E-2</v>
      </c>
      <c r="O258" s="80">
        <f t="shared" si="47"/>
        <v>8.8999999999999996E-2</v>
      </c>
      <c r="P258" s="80">
        <f t="shared" si="47"/>
        <v>8.7499999999999994E-2</v>
      </c>
      <c r="Q258" s="80">
        <f t="shared" si="47"/>
        <v>8.5999999999999993E-2</v>
      </c>
      <c r="R258" s="80">
        <f t="shared" si="47"/>
        <v>8.4499999999999992E-2</v>
      </c>
      <c r="S258" s="80">
        <f t="shared" si="47"/>
        <v>8.299999999999999E-2</v>
      </c>
      <c r="T258" s="80">
        <f t="shared" si="47"/>
        <v>8.1499999999999989E-2</v>
      </c>
      <c r="U258" s="80">
        <f t="shared" si="47"/>
        <v>7.9999999999999988E-2</v>
      </c>
      <c r="V258" s="80">
        <f t="shared" si="47"/>
        <v>7.8499999999999986E-2</v>
      </c>
      <c r="W258" s="79">
        <v>7.6999999999999999E-2</v>
      </c>
      <c r="X258" s="80">
        <f t="shared" ref="X258:AF258" si="48">W258+($AG$258-$W$258)/10</f>
        <v>7.5800000000000006E-2</v>
      </c>
      <c r="Y258" s="80">
        <f t="shared" si="48"/>
        <v>7.46E-2</v>
      </c>
      <c r="Z258" s="80">
        <f t="shared" si="48"/>
        <v>7.3399999999999993E-2</v>
      </c>
      <c r="AA258" s="80">
        <f t="shared" si="48"/>
        <v>7.2199999999999986E-2</v>
      </c>
      <c r="AB258" s="80">
        <f t="shared" si="48"/>
        <v>7.099999999999998E-2</v>
      </c>
      <c r="AC258" s="80">
        <f t="shared" si="48"/>
        <v>6.9799999999999973E-2</v>
      </c>
      <c r="AD258" s="80">
        <f t="shared" si="48"/>
        <v>6.8599999999999967E-2</v>
      </c>
      <c r="AE258" s="80">
        <f t="shared" si="48"/>
        <v>6.739999999999996E-2</v>
      </c>
      <c r="AF258" s="80">
        <f t="shared" si="48"/>
        <v>6.6199999999999953E-2</v>
      </c>
      <c r="AG258" s="79">
        <v>6.5000000000000002E-2</v>
      </c>
      <c r="AH258" s="80">
        <f t="shared" ref="AH258:AP258" si="49">AG258+($AQ$258-$AG$258)/10</f>
        <v>6.4100000000000004E-2</v>
      </c>
      <c r="AI258" s="80">
        <f t="shared" si="49"/>
        <v>6.3200000000000006E-2</v>
      </c>
      <c r="AJ258" s="80">
        <f t="shared" si="49"/>
        <v>6.2300000000000008E-2</v>
      </c>
      <c r="AK258" s="80">
        <f t="shared" si="49"/>
        <v>6.140000000000001E-2</v>
      </c>
      <c r="AL258" s="80">
        <f t="shared" si="49"/>
        <v>6.0500000000000012E-2</v>
      </c>
      <c r="AM258" s="80">
        <f t="shared" si="49"/>
        <v>5.9600000000000014E-2</v>
      </c>
      <c r="AN258" s="80">
        <f t="shared" si="49"/>
        <v>5.8700000000000016E-2</v>
      </c>
      <c r="AO258" s="80">
        <f t="shared" si="49"/>
        <v>5.7800000000000018E-2</v>
      </c>
      <c r="AP258" s="80">
        <f t="shared" si="49"/>
        <v>5.690000000000002E-2</v>
      </c>
      <c r="AQ258" s="79">
        <v>5.6000000000000001E-2</v>
      </c>
      <c r="AR258" s="80">
        <f t="shared" ref="AR258:AZ258" si="50">AQ258+($BA$258-$AQ$258)/10</f>
        <v>5.5400000000000005E-2</v>
      </c>
      <c r="AS258" s="80">
        <f t="shared" si="50"/>
        <v>5.4800000000000001E-2</v>
      </c>
      <c r="AT258" s="80">
        <f t="shared" si="50"/>
        <v>5.4199999999999998E-2</v>
      </c>
      <c r="AU258" s="80">
        <f t="shared" si="50"/>
        <v>5.3599999999999995E-2</v>
      </c>
      <c r="AV258" s="80">
        <f t="shared" si="50"/>
        <v>5.2999999999999992E-2</v>
      </c>
      <c r="AW258" s="80">
        <f t="shared" si="50"/>
        <v>5.2399999999999988E-2</v>
      </c>
      <c r="AX258" s="80">
        <f t="shared" si="50"/>
        <v>5.1799999999999985E-2</v>
      </c>
      <c r="AY258" s="80">
        <f t="shared" si="50"/>
        <v>5.1199999999999982E-2</v>
      </c>
      <c r="AZ258" s="80">
        <f t="shared" si="50"/>
        <v>5.0599999999999978E-2</v>
      </c>
      <c r="BA258" s="79">
        <v>0.05</v>
      </c>
      <c r="BB258" s="80">
        <f t="shared" ref="BB258:BJ258" si="51">BA258+($BK$258-$BA$258)/10</f>
        <v>4.9800000000000004E-2</v>
      </c>
      <c r="BC258" s="80">
        <f t="shared" si="51"/>
        <v>4.9600000000000005E-2</v>
      </c>
      <c r="BD258" s="80">
        <f t="shared" si="51"/>
        <v>4.9400000000000006E-2</v>
      </c>
      <c r="BE258" s="80">
        <f t="shared" si="51"/>
        <v>4.9200000000000008E-2</v>
      </c>
      <c r="BF258" s="80">
        <f t="shared" si="51"/>
        <v>4.9000000000000009E-2</v>
      </c>
      <c r="BG258" s="80">
        <f t="shared" si="51"/>
        <v>4.880000000000001E-2</v>
      </c>
      <c r="BH258" s="80">
        <f t="shared" si="51"/>
        <v>4.8600000000000011E-2</v>
      </c>
      <c r="BI258" s="80">
        <f t="shared" si="51"/>
        <v>4.8400000000000012E-2</v>
      </c>
      <c r="BJ258" s="80">
        <f t="shared" si="51"/>
        <v>4.8200000000000014E-2</v>
      </c>
      <c r="BK258" s="79">
        <v>4.8000000000000001E-2</v>
      </c>
      <c r="BL258" s="80">
        <f t="shared" ref="BL258:BT258" si="52">BK258+($BU$258-$BK$258)/10</f>
        <v>4.8100000000000004E-2</v>
      </c>
      <c r="BM258" s="80">
        <f t="shared" si="52"/>
        <v>4.8200000000000007E-2</v>
      </c>
      <c r="BN258" s="80">
        <f t="shared" si="52"/>
        <v>4.830000000000001E-2</v>
      </c>
      <c r="BO258" s="80">
        <f t="shared" si="52"/>
        <v>4.8400000000000012E-2</v>
      </c>
      <c r="BP258" s="80">
        <f t="shared" si="52"/>
        <v>4.8500000000000015E-2</v>
      </c>
      <c r="BQ258" s="80">
        <f t="shared" si="52"/>
        <v>4.8600000000000018E-2</v>
      </c>
      <c r="BR258" s="80">
        <f t="shared" si="52"/>
        <v>4.8700000000000021E-2</v>
      </c>
      <c r="BS258" s="80">
        <f t="shared" si="52"/>
        <v>4.8800000000000024E-2</v>
      </c>
      <c r="BT258" s="80">
        <f t="shared" si="52"/>
        <v>4.8900000000000027E-2</v>
      </c>
      <c r="BU258" s="79">
        <v>4.9000000000000002E-2</v>
      </c>
      <c r="BV258" s="80">
        <f t="shared" ref="BV258:CD258" si="53">BU258+($CE$258-$BU$258)/10</f>
        <v>4.9399999999999999E-2</v>
      </c>
      <c r="BW258" s="80">
        <f t="shared" si="53"/>
        <v>4.9799999999999997E-2</v>
      </c>
      <c r="BX258" s="80">
        <f t="shared" si="53"/>
        <v>5.0199999999999995E-2</v>
      </c>
      <c r="BY258" s="80">
        <f t="shared" si="53"/>
        <v>5.0599999999999992E-2</v>
      </c>
      <c r="BZ258" s="80">
        <f t="shared" si="53"/>
        <v>5.099999999999999E-2</v>
      </c>
      <c r="CA258" s="80">
        <f t="shared" si="53"/>
        <v>5.1399999999999987E-2</v>
      </c>
      <c r="CB258" s="80">
        <f t="shared" si="53"/>
        <v>5.1799999999999985E-2</v>
      </c>
      <c r="CC258" s="80">
        <f t="shared" si="53"/>
        <v>5.2199999999999983E-2</v>
      </c>
      <c r="CD258" s="80">
        <f t="shared" si="53"/>
        <v>5.259999999999998E-2</v>
      </c>
      <c r="CE258" s="79">
        <v>5.2999999999999999E-2</v>
      </c>
      <c r="CF258" s="80">
        <f t="shared" ref="CF258:CN258" si="54">CE258+($CO$258-$CE$258)/10</f>
        <v>5.3699999999999998E-2</v>
      </c>
      <c r="CG258" s="80">
        <f t="shared" si="54"/>
        <v>5.4399999999999997E-2</v>
      </c>
      <c r="CH258" s="80">
        <f t="shared" si="54"/>
        <v>5.5099999999999996E-2</v>
      </c>
      <c r="CI258" s="80">
        <f t="shared" si="54"/>
        <v>5.5799999999999995E-2</v>
      </c>
      <c r="CJ258" s="80">
        <f t="shared" si="54"/>
        <v>5.6499999999999995E-2</v>
      </c>
      <c r="CK258" s="80">
        <f t="shared" si="54"/>
        <v>5.7199999999999994E-2</v>
      </c>
      <c r="CL258" s="80">
        <f t="shared" si="54"/>
        <v>5.7899999999999993E-2</v>
      </c>
      <c r="CM258" s="80">
        <f t="shared" si="54"/>
        <v>5.8599999999999992E-2</v>
      </c>
      <c r="CN258" s="80">
        <f t="shared" si="54"/>
        <v>5.9299999999999992E-2</v>
      </c>
      <c r="CO258" s="79">
        <v>0.06</v>
      </c>
      <c r="CP258" s="80">
        <f t="shared" ref="CP258:CX258" si="55">CO258+($CY$258-$CO$258)/10</f>
        <v>6.1099999999999995E-2</v>
      </c>
      <c r="CQ258" s="80">
        <f t="shared" si="55"/>
        <v>6.2199999999999991E-2</v>
      </c>
      <c r="CR258" s="80">
        <f t="shared" si="55"/>
        <v>6.3299999999999995E-2</v>
      </c>
      <c r="CS258" s="80">
        <f t="shared" si="55"/>
        <v>6.4399999999999999E-2</v>
      </c>
      <c r="CT258" s="80">
        <f t="shared" si="55"/>
        <v>6.5500000000000003E-2</v>
      </c>
      <c r="CU258" s="80">
        <f t="shared" si="55"/>
        <v>6.6600000000000006E-2</v>
      </c>
      <c r="CV258" s="80">
        <f t="shared" si="55"/>
        <v>6.770000000000001E-2</v>
      </c>
      <c r="CW258" s="80">
        <f t="shared" si="55"/>
        <v>6.8800000000000014E-2</v>
      </c>
      <c r="CX258" s="80">
        <f t="shared" si="55"/>
        <v>6.9900000000000018E-2</v>
      </c>
      <c r="CY258" s="79">
        <v>7.0999999999999994E-2</v>
      </c>
      <c r="CZ258" s="80">
        <f t="shared" ref="CZ258:DH258" si="56">CY258+($DI$258-$CY$258)/10</f>
        <v>7.2399999999999992E-2</v>
      </c>
      <c r="DA258" s="80">
        <f t="shared" si="56"/>
        <v>7.3799999999999991E-2</v>
      </c>
      <c r="DB258" s="80">
        <f t="shared" si="56"/>
        <v>7.5199999999999989E-2</v>
      </c>
      <c r="DC258" s="80">
        <f t="shared" si="56"/>
        <v>7.6599999999999988E-2</v>
      </c>
      <c r="DD258" s="80">
        <f t="shared" si="56"/>
        <v>7.7999999999999986E-2</v>
      </c>
      <c r="DE258" s="80">
        <f t="shared" si="56"/>
        <v>7.9399999999999984E-2</v>
      </c>
      <c r="DF258" s="80">
        <f t="shared" si="56"/>
        <v>8.0799999999999983E-2</v>
      </c>
      <c r="DG258" s="80">
        <f t="shared" si="56"/>
        <v>8.2199999999999981E-2</v>
      </c>
      <c r="DH258" s="80">
        <f t="shared" si="56"/>
        <v>8.359999999999998E-2</v>
      </c>
      <c r="DI258" s="79">
        <v>8.5000000000000006E-2</v>
      </c>
      <c r="DJ258" s="80">
        <f t="shared" ref="DJ258:DR258" si="57">DI258+($DS$258-$DI$258)/10</f>
        <v>8.6699999999999999E-2</v>
      </c>
      <c r="DK258" s="80">
        <f t="shared" si="57"/>
        <v>8.8399999999999992E-2</v>
      </c>
      <c r="DL258" s="80">
        <f t="shared" si="57"/>
        <v>9.0099999999999986E-2</v>
      </c>
      <c r="DM258" s="80">
        <f t="shared" si="57"/>
        <v>9.1799999999999979E-2</v>
      </c>
      <c r="DN258" s="80">
        <f t="shared" si="57"/>
        <v>9.3499999999999972E-2</v>
      </c>
      <c r="DO258" s="80">
        <f t="shared" si="57"/>
        <v>9.5199999999999965E-2</v>
      </c>
      <c r="DP258" s="80">
        <f t="shared" si="57"/>
        <v>9.6899999999999958E-2</v>
      </c>
      <c r="DQ258" s="80">
        <f t="shared" si="57"/>
        <v>9.8599999999999952E-2</v>
      </c>
      <c r="DR258" s="80">
        <f t="shared" si="57"/>
        <v>0.10029999999999994</v>
      </c>
      <c r="DS258" s="79">
        <v>0.10199999999999999</v>
      </c>
    </row>
    <row r="259" spans="2:123">
      <c r="B259" s="3" t="s">
        <v>144</v>
      </c>
      <c r="C259" s="79">
        <v>0.14899999999999999</v>
      </c>
      <c r="D259" s="80">
        <f t="shared" ref="D259:L259" si="58">C259+($M$259-$C$259)/10</f>
        <v>0.14710000000000001</v>
      </c>
      <c r="E259" s="80">
        <f t="shared" si="58"/>
        <v>0.1452</v>
      </c>
      <c r="F259" s="80">
        <f t="shared" si="58"/>
        <v>0.14329999999999998</v>
      </c>
      <c r="G259" s="80">
        <f t="shared" si="58"/>
        <v>0.14139999999999997</v>
      </c>
      <c r="H259" s="80">
        <f t="shared" si="58"/>
        <v>0.13949999999999996</v>
      </c>
      <c r="I259" s="80">
        <f t="shared" si="58"/>
        <v>0.13759999999999994</v>
      </c>
      <c r="J259" s="80">
        <f t="shared" si="58"/>
        <v>0.13569999999999993</v>
      </c>
      <c r="K259" s="80">
        <f t="shared" si="58"/>
        <v>0.13379999999999992</v>
      </c>
      <c r="L259" s="80">
        <f t="shared" si="58"/>
        <v>0.13189999999999991</v>
      </c>
      <c r="M259" s="79">
        <v>0.13</v>
      </c>
      <c r="N259" s="80">
        <f t="shared" ref="N259:V259" si="59">M259+($W$259-$M$259)/10</f>
        <v>0.1285</v>
      </c>
      <c r="O259" s="80">
        <f t="shared" si="59"/>
        <v>0.127</v>
      </c>
      <c r="P259" s="80">
        <f t="shared" si="59"/>
        <v>0.1255</v>
      </c>
      <c r="Q259" s="80">
        <f t="shared" si="59"/>
        <v>0.124</v>
      </c>
      <c r="R259" s="80">
        <f t="shared" si="59"/>
        <v>0.1225</v>
      </c>
      <c r="S259" s="80">
        <f t="shared" si="59"/>
        <v>0.121</v>
      </c>
      <c r="T259" s="80">
        <f t="shared" si="59"/>
        <v>0.1195</v>
      </c>
      <c r="U259" s="80">
        <f t="shared" si="59"/>
        <v>0.11799999999999999</v>
      </c>
      <c r="V259" s="80">
        <f t="shared" si="59"/>
        <v>0.11649999999999999</v>
      </c>
      <c r="W259" s="79">
        <v>0.115</v>
      </c>
      <c r="X259" s="80">
        <f t="shared" ref="X259:AF259" si="60">W259+($AG$259-$W$259)/10</f>
        <v>0.1138</v>
      </c>
      <c r="Y259" s="80">
        <f t="shared" si="60"/>
        <v>0.11259999999999999</v>
      </c>
      <c r="Z259" s="80">
        <f t="shared" si="60"/>
        <v>0.11139999999999999</v>
      </c>
      <c r="AA259" s="80">
        <f t="shared" si="60"/>
        <v>0.11019999999999998</v>
      </c>
      <c r="AB259" s="80">
        <f t="shared" si="60"/>
        <v>0.10899999999999997</v>
      </c>
      <c r="AC259" s="80">
        <f t="shared" si="60"/>
        <v>0.10779999999999997</v>
      </c>
      <c r="AD259" s="80">
        <f t="shared" si="60"/>
        <v>0.10659999999999996</v>
      </c>
      <c r="AE259" s="80">
        <f t="shared" si="60"/>
        <v>0.10539999999999995</v>
      </c>
      <c r="AF259" s="80">
        <f t="shared" si="60"/>
        <v>0.10419999999999995</v>
      </c>
      <c r="AG259" s="79">
        <v>0.10299999999999999</v>
      </c>
      <c r="AH259" s="80">
        <f t="shared" ref="AH259:AP259" si="61">AG259+($AQ$259-$AG$259)/10</f>
        <v>0.1021</v>
      </c>
      <c r="AI259" s="80">
        <f t="shared" si="61"/>
        <v>0.1012</v>
      </c>
      <c r="AJ259" s="80">
        <f t="shared" si="61"/>
        <v>0.1003</v>
      </c>
      <c r="AK259" s="80">
        <f t="shared" si="61"/>
        <v>9.9400000000000002E-2</v>
      </c>
      <c r="AL259" s="80">
        <f t="shared" si="61"/>
        <v>9.8500000000000004E-2</v>
      </c>
      <c r="AM259" s="80">
        <f t="shared" si="61"/>
        <v>9.7600000000000006E-2</v>
      </c>
      <c r="AN259" s="80">
        <f t="shared" si="61"/>
        <v>9.6700000000000008E-2</v>
      </c>
      <c r="AO259" s="80">
        <f t="shared" si="61"/>
        <v>9.580000000000001E-2</v>
      </c>
      <c r="AP259" s="80">
        <f t="shared" si="61"/>
        <v>9.4900000000000012E-2</v>
      </c>
      <c r="AQ259" s="79">
        <v>9.4E-2</v>
      </c>
      <c r="AR259" s="80">
        <f t="shared" ref="AR259:AZ259" si="62">AQ259+($BA$259-$AQ$259)/10</f>
        <v>9.3399999999999997E-2</v>
      </c>
      <c r="AS259" s="80">
        <f t="shared" si="62"/>
        <v>9.2799999999999994E-2</v>
      </c>
      <c r="AT259" s="80">
        <f t="shared" si="62"/>
        <v>9.219999999999999E-2</v>
      </c>
      <c r="AU259" s="80">
        <f t="shared" si="62"/>
        <v>9.1599999999999987E-2</v>
      </c>
      <c r="AV259" s="80">
        <f t="shared" si="62"/>
        <v>9.0999999999999984E-2</v>
      </c>
      <c r="AW259" s="80">
        <f t="shared" si="62"/>
        <v>9.039999999999998E-2</v>
      </c>
      <c r="AX259" s="80">
        <f t="shared" si="62"/>
        <v>8.9799999999999977E-2</v>
      </c>
      <c r="AY259" s="80">
        <f t="shared" si="62"/>
        <v>8.9199999999999974E-2</v>
      </c>
      <c r="AZ259" s="80">
        <f t="shared" si="62"/>
        <v>8.859999999999997E-2</v>
      </c>
      <c r="BA259" s="79">
        <v>8.7999999999999995E-2</v>
      </c>
      <c r="BB259" s="80">
        <f t="shared" ref="BB259:BJ259" si="63">BA259+($BK$259-$BA$259)/10</f>
        <v>8.7799999999999989E-2</v>
      </c>
      <c r="BC259" s="80">
        <f t="shared" si="63"/>
        <v>8.7599999999999983E-2</v>
      </c>
      <c r="BD259" s="80">
        <f t="shared" si="63"/>
        <v>8.7399999999999978E-2</v>
      </c>
      <c r="BE259" s="80">
        <f t="shared" si="63"/>
        <v>8.7199999999999972E-2</v>
      </c>
      <c r="BF259" s="80">
        <f t="shared" si="63"/>
        <v>8.6999999999999966E-2</v>
      </c>
      <c r="BG259" s="80">
        <f t="shared" si="63"/>
        <v>8.6799999999999961E-2</v>
      </c>
      <c r="BH259" s="80">
        <f t="shared" si="63"/>
        <v>8.6599999999999955E-2</v>
      </c>
      <c r="BI259" s="80">
        <f t="shared" si="63"/>
        <v>8.6399999999999949E-2</v>
      </c>
      <c r="BJ259" s="80">
        <f t="shared" si="63"/>
        <v>8.6199999999999943E-2</v>
      </c>
      <c r="BK259" s="79">
        <v>8.5999999999999993E-2</v>
      </c>
      <c r="BL259" s="80">
        <f t="shared" ref="BL259:BT259" si="64">BK259+($BU$259-$BK$259)/10</f>
        <v>8.6099999999999996E-2</v>
      </c>
      <c r="BM259" s="80">
        <f t="shared" si="64"/>
        <v>8.6199999999999999E-2</v>
      </c>
      <c r="BN259" s="80">
        <f t="shared" si="64"/>
        <v>8.6300000000000002E-2</v>
      </c>
      <c r="BO259" s="80">
        <f t="shared" si="64"/>
        <v>8.6400000000000005E-2</v>
      </c>
      <c r="BP259" s="80">
        <f t="shared" si="64"/>
        <v>8.6500000000000007E-2</v>
      </c>
      <c r="BQ259" s="80">
        <f t="shared" si="64"/>
        <v>8.660000000000001E-2</v>
      </c>
      <c r="BR259" s="80">
        <f t="shared" si="64"/>
        <v>8.6700000000000013E-2</v>
      </c>
      <c r="BS259" s="80">
        <f t="shared" si="64"/>
        <v>8.6800000000000016E-2</v>
      </c>
      <c r="BT259" s="80">
        <f t="shared" si="64"/>
        <v>8.6900000000000019E-2</v>
      </c>
      <c r="BU259" s="79">
        <v>8.6999999999999994E-2</v>
      </c>
      <c r="BV259" s="80">
        <f t="shared" ref="BV259:CD259" si="65">BU259+($CE$259-$BU$259)/10</f>
        <v>8.7399999999999992E-2</v>
      </c>
      <c r="BW259" s="80">
        <f t="shared" si="65"/>
        <v>8.7799999999999989E-2</v>
      </c>
      <c r="BX259" s="80">
        <f t="shared" si="65"/>
        <v>8.8199999999999987E-2</v>
      </c>
      <c r="BY259" s="80">
        <f t="shared" si="65"/>
        <v>8.8599999999999984E-2</v>
      </c>
      <c r="BZ259" s="80">
        <f t="shared" si="65"/>
        <v>8.8999999999999982E-2</v>
      </c>
      <c r="CA259" s="80">
        <f t="shared" si="65"/>
        <v>8.9399999999999979E-2</v>
      </c>
      <c r="CB259" s="80">
        <f t="shared" si="65"/>
        <v>8.9799999999999977E-2</v>
      </c>
      <c r="CC259" s="80">
        <f t="shared" si="65"/>
        <v>9.0199999999999975E-2</v>
      </c>
      <c r="CD259" s="80">
        <f t="shared" si="65"/>
        <v>9.0599999999999972E-2</v>
      </c>
      <c r="CE259" s="79">
        <v>9.0999999999999998E-2</v>
      </c>
      <c r="CF259" s="80">
        <f t="shared" ref="CF259:CN259" si="66">CE259+($CO$259-$CE$259)/10</f>
        <v>9.1700000000000004E-2</v>
      </c>
      <c r="CG259" s="80">
        <f t="shared" si="66"/>
        <v>9.240000000000001E-2</v>
      </c>
      <c r="CH259" s="80">
        <f t="shared" si="66"/>
        <v>9.3100000000000016E-2</v>
      </c>
      <c r="CI259" s="80">
        <f t="shared" si="66"/>
        <v>9.3800000000000022E-2</v>
      </c>
      <c r="CJ259" s="80">
        <f t="shared" si="66"/>
        <v>9.4500000000000028E-2</v>
      </c>
      <c r="CK259" s="80">
        <f t="shared" si="66"/>
        <v>9.5200000000000035E-2</v>
      </c>
      <c r="CL259" s="80">
        <f t="shared" si="66"/>
        <v>9.5900000000000041E-2</v>
      </c>
      <c r="CM259" s="80">
        <f t="shared" si="66"/>
        <v>9.6600000000000047E-2</v>
      </c>
      <c r="CN259" s="80">
        <f t="shared" si="66"/>
        <v>9.7300000000000053E-2</v>
      </c>
      <c r="CO259" s="79">
        <v>9.8000000000000004E-2</v>
      </c>
      <c r="CP259" s="80">
        <f t="shared" ref="CP259:CX259" si="67">CO259+($CY$259-$CO$259)/10</f>
        <v>9.9100000000000008E-2</v>
      </c>
      <c r="CQ259" s="80">
        <f t="shared" si="67"/>
        <v>0.10020000000000001</v>
      </c>
      <c r="CR259" s="80">
        <f t="shared" si="67"/>
        <v>0.10130000000000002</v>
      </c>
      <c r="CS259" s="80">
        <f t="shared" si="67"/>
        <v>0.10240000000000002</v>
      </c>
      <c r="CT259" s="80">
        <f t="shared" si="67"/>
        <v>0.10350000000000002</v>
      </c>
      <c r="CU259" s="80">
        <f t="shared" si="67"/>
        <v>0.10460000000000003</v>
      </c>
      <c r="CV259" s="80">
        <f t="shared" si="67"/>
        <v>0.10570000000000003</v>
      </c>
      <c r="CW259" s="80">
        <f t="shared" si="67"/>
        <v>0.10680000000000003</v>
      </c>
      <c r="CX259" s="80">
        <f t="shared" si="67"/>
        <v>0.10790000000000004</v>
      </c>
      <c r="CY259" s="79">
        <v>0.109</v>
      </c>
      <c r="CZ259" s="80"/>
      <c r="DA259" s="80"/>
      <c r="DB259" s="80"/>
      <c r="DC259" s="80"/>
      <c r="DD259" s="80"/>
      <c r="DE259" s="80"/>
      <c r="DF259" s="80"/>
      <c r="DG259" s="80"/>
      <c r="DH259" s="80"/>
      <c r="DI259" s="79"/>
      <c r="DJ259" s="80"/>
      <c r="DK259" s="80"/>
      <c r="DL259" s="80"/>
      <c r="DM259" s="80"/>
      <c r="DN259" s="80"/>
      <c r="DO259" s="80"/>
      <c r="DP259" s="80"/>
      <c r="DQ259" s="80"/>
      <c r="DR259" s="80"/>
      <c r="DS259" s="79"/>
    </row>
    <row r="260" spans="2:123">
      <c r="B260" s="3" t="s">
        <v>145</v>
      </c>
      <c r="C260" s="79">
        <v>0.69099999999999995</v>
      </c>
      <c r="D260" s="80">
        <f t="shared" ref="D260:L260" si="68">C260+($M$260-$C$260)/10</f>
        <v>0.67649999999999999</v>
      </c>
      <c r="E260" s="80">
        <f t="shared" si="68"/>
        <v>0.66200000000000003</v>
      </c>
      <c r="F260" s="80">
        <f t="shared" si="68"/>
        <v>0.64750000000000008</v>
      </c>
      <c r="G260" s="80">
        <f t="shared" si="68"/>
        <v>0.63300000000000012</v>
      </c>
      <c r="H260" s="80">
        <f t="shared" si="68"/>
        <v>0.61850000000000016</v>
      </c>
      <c r="I260" s="80">
        <f t="shared" si="68"/>
        <v>0.6040000000000002</v>
      </c>
      <c r="J260" s="80">
        <f t="shared" si="68"/>
        <v>0.58950000000000025</v>
      </c>
      <c r="K260" s="80">
        <f t="shared" si="68"/>
        <v>0.57500000000000029</v>
      </c>
      <c r="L260" s="80">
        <f t="shared" si="68"/>
        <v>0.56050000000000033</v>
      </c>
      <c r="M260" s="79">
        <v>0.54600000000000004</v>
      </c>
      <c r="N260" s="80">
        <f t="shared" ref="N260:V260" si="69">M260+($W$260-$M$260)/10</f>
        <v>0.53550000000000009</v>
      </c>
      <c r="O260" s="80">
        <f t="shared" si="69"/>
        <v>0.52500000000000013</v>
      </c>
      <c r="P260" s="80">
        <f t="shared" si="69"/>
        <v>0.51450000000000018</v>
      </c>
      <c r="Q260" s="80">
        <f t="shared" si="69"/>
        <v>0.50400000000000023</v>
      </c>
      <c r="R260" s="80">
        <f t="shared" si="69"/>
        <v>0.49350000000000022</v>
      </c>
      <c r="S260" s="80">
        <f t="shared" si="69"/>
        <v>0.48300000000000021</v>
      </c>
      <c r="T260" s="80">
        <f t="shared" si="69"/>
        <v>0.4725000000000002</v>
      </c>
      <c r="U260" s="80">
        <f t="shared" si="69"/>
        <v>0.46200000000000019</v>
      </c>
      <c r="V260" s="80">
        <f t="shared" si="69"/>
        <v>0.45150000000000018</v>
      </c>
      <c r="W260" s="79">
        <v>0.441</v>
      </c>
      <c r="X260" s="80">
        <f t="shared" ref="X260:AF260" si="70">W260+($AG$260-$W$260)/10</f>
        <v>0.434</v>
      </c>
      <c r="Y260" s="80">
        <f t="shared" si="70"/>
        <v>0.42699999999999999</v>
      </c>
      <c r="Z260" s="80">
        <f t="shared" si="70"/>
        <v>0.42</v>
      </c>
      <c r="AA260" s="80">
        <f t="shared" si="70"/>
        <v>0.41299999999999998</v>
      </c>
      <c r="AB260" s="80">
        <f t="shared" si="70"/>
        <v>0.40599999999999997</v>
      </c>
      <c r="AC260" s="80">
        <f t="shared" si="70"/>
        <v>0.39899999999999997</v>
      </c>
      <c r="AD260" s="80">
        <f t="shared" si="70"/>
        <v>0.39199999999999996</v>
      </c>
      <c r="AE260" s="80">
        <f t="shared" si="70"/>
        <v>0.38499999999999995</v>
      </c>
      <c r="AF260" s="80">
        <f t="shared" si="70"/>
        <v>0.37799999999999995</v>
      </c>
      <c r="AG260" s="79">
        <v>0.371</v>
      </c>
      <c r="AH260" s="80">
        <f t="shared" ref="AH260:AP260" si="71">AG260+($AQ$260-$AG$260)/10</f>
        <v>0.3669</v>
      </c>
      <c r="AI260" s="80">
        <f t="shared" si="71"/>
        <v>0.36280000000000001</v>
      </c>
      <c r="AJ260" s="80">
        <f t="shared" si="71"/>
        <v>0.35870000000000002</v>
      </c>
      <c r="AK260" s="80">
        <f t="shared" si="71"/>
        <v>0.35460000000000003</v>
      </c>
      <c r="AL260" s="80">
        <f t="shared" si="71"/>
        <v>0.35050000000000003</v>
      </c>
      <c r="AM260" s="80">
        <f t="shared" si="71"/>
        <v>0.34640000000000004</v>
      </c>
      <c r="AN260" s="80">
        <f t="shared" si="71"/>
        <v>0.34230000000000005</v>
      </c>
      <c r="AO260" s="80">
        <f t="shared" si="71"/>
        <v>0.33820000000000006</v>
      </c>
      <c r="AP260" s="80">
        <f t="shared" si="71"/>
        <v>0.33410000000000006</v>
      </c>
      <c r="AQ260" s="79">
        <v>0.33</v>
      </c>
      <c r="AR260" s="80">
        <f t="shared" ref="AR260:AZ260" si="72">AQ260+($BA$260-$AQ$260)/10</f>
        <v>0.3281</v>
      </c>
      <c r="AS260" s="80">
        <f t="shared" si="72"/>
        <v>0.32619999999999999</v>
      </c>
      <c r="AT260" s="80">
        <f t="shared" si="72"/>
        <v>0.32429999999999998</v>
      </c>
      <c r="AU260" s="80">
        <f t="shared" si="72"/>
        <v>0.32239999999999996</v>
      </c>
      <c r="AV260" s="80">
        <f t="shared" si="72"/>
        <v>0.32049999999999995</v>
      </c>
      <c r="AW260" s="80">
        <f t="shared" si="72"/>
        <v>0.31859999999999994</v>
      </c>
      <c r="AX260" s="80">
        <f t="shared" si="72"/>
        <v>0.31669999999999993</v>
      </c>
      <c r="AY260" s="80">
        <f t="shared" si="72"/>
        <v>0.31479999999999991</v>
      </c>
      <c r="AZ260" s="80">
        <f t="shared" si="72"/>
        <v>0.3128999999999999</v>
      </c>
      <c r="BA260" s="79">
        <v>0.311</v>
      </c>
      <c r="BB260" s="80">
        <f t="shared" ref="BB260:BJ260" si="73">BA260+($BK$260-$BA$260)/10</f>
        <v>0.31080000000000002</v>
      </c>
      <c r="BC260" s="80">
        <f t="shared" si="73"/>
        <v>0.31060000000000004</v>
      </c>
      <c r="BD260" s="80">
        <f t="shared" si="73"/>
        <v>0.31040000000000006</v>
      </c>
      <c r="BE260" s="80">
        <f t="shared" si="73"/>
        <v>0.31020000000000009</v>
      </c>
      <c r="BF260" s="80">
        <f t="shared" si="73"/>
        <v>0.31000000000000011</v>
      </c>
      <c r="BG260" s="80">
        <f t="shared" si="73"/>
        <v>0.30980000000000013</v>
      </c>
      <c r="BH260" s="80">
        <f t="shared" si="73"/>
        <v>0.30960000000000015</v>
      </c>
      <c r="BI260" s="80">
        <f t="shared" si="73"/>
        <v>0.30940000000000017</v>
      </c>
      <c r="BJ260" s="80">
        <f t="shared" si="73"/>
        <v>0.3092000000000002</v>
      </c>
      <c r="BK260" s="79">
        <v>0.309</v>
      </c>
      <c r="BL260" s="80">
        <f t="shared" ref="BL260:BT260" si="74">BK260+($BU$260-$BK$260)/10</f>
        <v>0.30990000000000001</v>
      </c>
      <c r="BM260" s="80">
        <f t="shared" si="74"/>
        <v>0.31080000000000002</v>
      </c>
      <c r="BN260" s="80">
        <f t="shared" si="74"/>
        <v>0.31170000000000003</v>
      </c>
      <c r="BO260" s="80">
        <f t="shared" si="74"/>
        <v>0.31260000000000004</v>
      </c>
      <c r="BP260" s="80">
        <f t="shared" si="74"/>
        <v>0.31350000000000006</v>
      </c>
      <c r="BQ260" s="80">
        <f t="shared" si="74"/>
        <v>0.31440000000000007</v>
      </c>
      <c r="BR260" s="80">
        <f t="shared" si="74"/>
        <v>0.31530000000000008</v>
      </c>
      <c r="BS260" s="80">
        <f t="shared" si="74"/>
        <v>0.31620000000000009</v>
      </c>
      <c r="BT260" s="80">
        <f t="shared" si="74"/>
        <v>0.3171000000000001</v>
      </c>
      <c r="BU260" s="79">
        <v>0.318</v>
      </c>
      <c r="BV260" s="80">
        <f t="shared" ref="BV260:CD260" si="75">BU260+($CE$260-$BU$260)/10</f>
        <v>0.31940000000000002</v>
      </c>
      <c r="BW260" s="80">
        <f t="shared" si="75"/>
        <v>0.32080000000000003</v>
      </c>
      <c r="BX260" s="80">
        <f t="shared" si="75"/>
        <v>0.32220000000000004</v>
      </c>
      <c r="BY260" s="80">
        <f t="shared" si="75"/>
        <v>0.32360000000000005</v>
      </c>
      <c r="BZ260" s="80">
        <f t="shared" si="75"/>
        <v>0.32500000000000007</v>
      </c>
      <c r="CA260" s="80">
        <f t="shared" si="75"/>
        <v>0.32640000000000008</v>
      </c>
      <c r="CB260" s="80">
        <f t="shared" si="75"/>
        <v>0.32780000000000009</v>
      </c>
      <c r="CC260" s="80">
        <f t="shared" si="75"/>
        <v>0.3292000000000001</v>
      </c>
      <c r="CD260" s="80">
        <f t="shared" si="75"/>
        <v>0.33060000000000012</v>
      </c>
      <c r="CE260" s="79">
        <v>0.33200000000000002</v>
      </c>
      <c r="CF260" s="80"/>
      <c r="CG260" s="80"/>
      <c r="CH260" s="80"/>
      <c r="CI260" s="80"/>
      <c r="CJ260" s="80"/>
      <c r="CK260" s="80"/>
      <c r="CL260" s="80"/>
      <c r="CM260" s="80"/>
      <c r="CN260" s="80"/>
      <c r="CO260" s="79"/>
      <c r="CP260" s="80"/>
      <c r="CQ260" s="80"/>
      <c r="CR260" s="80"/>
      <c r="CS260" s="80"/>
      <c r="CT260" s="80"/>
      <c r="CU260" s="80"/>
      <c r="CV260" s="80"/>
      <c r="CW260" s="80"/>
      <c r="CX260" s="80"/>
      <c r="CY260" s="79"/>
      <c r="CZ260" s="80"/>
      <c r="DA260" s="80"/>
      <c r="DB260" s="80"/>
      <c r="DC260" s="80"/>
      <c r="DD260" s="80"/>
      <c r="DE260" s="80"/>
      <c r="DF260" s="80"/>
      <c r="DG260" s="80"/>
      <c r="DH260" s="80"/>
      <c r="DI260" s="79"/>
      <c r="DJ260" s="80"/>
      <c r="DK260" s="80"/>
      <c r="DL260" s="80"/>
      <c r="DM260" s="80"/>
      <c r="DN260" s="80"/>
      <c r="DO260" s="80"/>
      <c r="DP260" s="80"/>
      <c r="DQ260" s="80"/>
      <c r="DR260" s="80"/>
      <c r="DS260" s="79"/>
    </row>
    <row r="261" spans="2:123">
      <c r="B261" s="3" t="s">
        <v>146</v>
      </c>
      <c r="C261" s="79">
        <v>0.83199999999999996</v>
      </c>
      <c r="D261" s="80">
        <f t="shared" ref="D261:L261" si="76">C261+($M$261-$C$261)/10</f>
        <v>0.8175</v>
      </c>
      <c r="E261" s="80">
        <f t="shared" si="76"/>
        <v>0.80300000000000005</v>
      </c>
      <c r="F261" s="80">
        <f t="shared" si="76"/>
        <v>0.78850000000000009</v>
      </c>
      <c r="G261" s="80">
        <f t="shared" si="76"/>
        <v>0.77400000000000013</v>
      </c>
      <c r="H261" s="80">
        <f t="shared" si="76"/>
        <v>0.75950000000000017</v>
      </c>
      <c r="I261" s="80">
        <f t="shared" si="76"/>
        <v>0.74500000000000022</v>
      </c>
      <c r="J261" s="80">
        <f t="shared" si="76"/>
        <v>0.73050000000000026</v>
      </c>
      <c r="K261" s="80">
        <f t="shared" si="76"/>
        <v>0.7160000000000003</v>
      </c>
      <c r="L261" s="80">
        <f t="shared" si="76"/>
        <v>0.70150000000000035</v>
      </c>
      <c r="M261" s="79">
        <v>0.68700000000000006</v>
      </c>
      <c r="N261" s="80">
        <f t="shared" ref="N261:V261" si="77">M261+($W$261-$M$261)/10</f>
        <v>0.6765000000000001</v>
      </c>
      <c r="O261" s="80">
        <f t="shared" si="77"/>
        <v>0.66600000000000015</v>
      </c>
      <c r="P261" s="80">
        <f t="shared" si="77"/>
        <v>0.65550000000000019</v>
      </c>
      <c r="Q261" s="80">
        <f t="shared" si="77"/>
        <v>0.64500000000000024</v>
      </c>
      <c r="R261" s="80">
        <f t="shared" si="77"/>
        <v>0.63450000000000029</v>
      </c>
      <c r="S261" s="80">
        <f t="shared" si="77"/>
        <v>0.62400000000000033</v>
      </c>
      <c r="T261" s="80">
        <f t="shared" si="77"/>
        <v>0.61350000000000038</v>
      </c>
      <c r="U261" s="80">
        <f t="shared" si="77"/>
        <v>0.60300000000000042</v>
      </c>
      <c r="V261" s="80">
        <f t="shared" si="77"/>
        <v>0.59250000000000047</v>
      </c>
      <c r="W261" s="79">
        <v>0.58199999999999996</v>
      </c>
      <c r="X261" s="80">
        <f t="shared" ref="X261:AF261" si="78">W261+($AG$261-$W$261)/10</f>
        <v>0.57499999999999996</v>
      </c>
      <c r="Y261" s="80">
        <f t="shared" si="78"/>
        <v>0.56799999999999995</v>
      </c>
      <c r="Z261" s="80">
        <f t="shared" si="78"/>
        <v>0.56099999999999994</v>
      </c>
      <c r="AA261" s="80">
        <f t="shared" si="78"/>
        <v>0.55399999999999994</v>
      </c>
      <c r="AB261" s="80">
        <f t="shared" si="78"/>
        <v>0.54699999999999993</v>
      </c>
      <c r="AC261" s="80">
        <f t="shared" si="78"/>
        <v>0.53999999999999992</v>
      </c>
      <c r="AD261" s="80">
        <f t="shared" si="78"/>
        <v>0.53299999999999992</v>
      </c>
      <c r="AE261" s="80">
        <f t="shared" si="78"/>
        <v>0.52599999999999991</v>
      </c>
      <c r="AF261" s="80">
        <f t="shared" si="78"/>
        <v>0.51899999999999991</v>
      </c>
      <c r="AG261" s="79">
        <v>0.51200000000000001</v>
      </c>
      <c r="AH261" s="80">
        <f t="shared" ref="AH261:AP261" si="79">AG261+($AQ$261-$AG$261)/10</f>
        <v>0.50790000000000002</v>
      </c>
      <c r="AI261" s="80">
        <f t="shared" si="79"/>
        <v>0.50380000000000003</v>
      </c>
      <c r="AJ261" s="80">
        <f t="shared" si="79"/>
        <v>0.49970000000000003</v>
      </c>
      <c r="AK261" s="80">
        <f t="shared" si="79"/>
        <v>0.49560000000000004</v>
      </c>
      <c r="AL261" s="80">
        <f t="shared" si="79"/>
        <v>0.49150000000000005</v>
      </c>
      <c r="AM261" s="80">
        <f t="shared" si="79"/>
        <v>0.48740000000000006</v>
      </c>
      <c r="AN261" s="80">
        <f t="shared" si="79"/>
        <v>0.48330000000000006</v>
      </c>
      <c r="AO261" s="80">
        <f t="shared" si="79"/>
        <v>0.47920000000000007</v>
      </c>
      <c r="AP261" s="80">
        <f t="shared" si="79"/>
        <v>0.47510000000000008</v>
      </c>
      <c r="AQ261" s="79">
        <v>0.47099999999999997</v>
      </c>
      <c r="AR261" s="80">
        <f t="shared" ref="AR261:AZ261" si="80">AQ261+($BA$261-$AQ$261)/10</f>
        <v>0.46909999999999996</v>
      </c>
      <c r="AS261" s="80">
        <f t="shared" si="80"/>
        <v>0.46719999999999995</v>
      </c>
      <c r="AT261" s="80">
        <f t="shared" si="80"/>
        <v>0.46529999999999994</v>
      </c>
      <c r="AU261" s="80">
        <f t="shared" si="80"/>
        <v>0.46339999999999992</v>
      </c>
      <c r="AV261" s="80">
        <f t="shared" si="80"/>
        <v>0.46149999999999991</v>
      </c>
      <c r="AW261" s="80">
        <f t="shared" si="80"/>
        <v>0.4595999999999999</v>
      </c>
      <c r="AX261" s="80">
        <f t="shared" si="80"/>
        <v>0.45769999999999988</v>
      </c>
      <c r="AY261" s="80">
        <f t="shared" si="80"/>
        <v>0.45579999999999987</v>
      </c>
      <c r="AZ261" s="80">
        <f t="shared" si="80"/>
        <v>0.45389999999999986</v>
      </c>
      <c r="BA261" s="79">
        <v>0.45200000000000001</v>
      </c>
      <c r="BB261" s="80">
        <f t="shared" ref="BB261:BJ261" si="81">BA261+($BK$261-$BA$261)/10</f>
        <v>0.45180000000000003</v>
      </c>
      <c r="BC261" s="80">
        <f t="shared" si="81"/>
        <v>0.45160000000000006</v>
      </c>
      <c r="BD261" s="80">
        <f t="shared" si="81"/>
        <v>0.45140000000000008</v>
      </c>
      <c r="BE261" s="80">
        <f t="shared" si="81"/>
        <v>0.4512000000000001</v>
      </c>
      <c r="BF261" s="80">
        <f t="shared" si="81"/>
        <v>0.45100000000000012</v>
      </c>
      <c r="BG261" s="80">
        <f t="shared" si="81"/>
        <v>0.45080000000000015</v>
      </c>
      <c r="BH261" s="80">
        <f t="shared" si="81"/>
        <v>0.45060000000000017</v>
      </c>
      <c r="BI261" s="80">
        <f t="shared" si="81"/>
        <v>0.45040000000000019</v>
      </c>
      <c r="BJ261" s="80">
        <f t="shared" si="81"/>
        <v>0.45020000000000021</v>
      </c>
      <c r="BK261" s="79">
        <v>0.45</v>
      </c>
      <c r="BL261" s="80">
        <f t="shared" ref="BL261:BT261" si="82">BK261+($BU$261-$BK$261)/10</f>
        <v>0.45090000000000002</v>
      </c>
      <c r="BM261" s="80">
        <f t="shared" si="82"/>
        <v>0.45180000000000003</v>
      </c>
      <c r="BN261" s="80">
        <f t="shared" si="82"/>
        <v>0.45270000000000005</v>
      </c>
      <c r="BO261" s="80">
        <f t="shared" si="82"/>
        <v>0.45360000000000006</v>
      </c>
      <c r="BP261" s="80">
        <f t="shared" si="82"/>
        <v>0.45450000000000007</v>
      </c>
      <c r="BQ261" s="80">
        <f t="shared" si="82"/>
        <v>0.45540000000000008</v>
      </c>
      <c r="BR261" s="80">
        <f t="shared" si="82"/>
        <v>0.45630000000000009</v>
      </c>
      <c r="BS261" s="80">
        <f t="shared" si="82"/>
        <v>0.45720000000000011</v>
      </c>
      <c r="BT261" s="80">
        <f t="shared" si="82"/>
        <v>0.45810000000000012</v>
      </c>
      <c r="BU261" s="79">
        <v>0.45900000000000002</v>
      </c>
      <c r="BV261" s="80">
        <f t="shared" ref="BV261:CD261" si="83">BU261+($CE$261-$BU$261)/10</f>
        <v>0.4607</v>
      </c>
      <c r="BW261" s="80">
        <f t="shared" si="83"/>
        <v>0.46239999999999998</v>
      </c>
      <c r="BX261" s="80">
        <f t="shared" si="83"/>
        <v>0.46409999999999996</v>
      </c>
      <c r="BY261" s="80">
        <f t="shared" si="83"/>
        <v>0.46579999999999994</v>
      </c>
      <c r="BZ261" s="80">
        <f t="shared" si="83"/>
        <v>0.46749999999999992</v>
      </c>
      <c r="CA261" s="80">
        <f t="shared" si="83"/>
        <v>0.46919999999999989</v>
      </c>
      <c r="CB261" s="80">
        <f t="shared" si="83"/>
        <v>0.47089999999999987</v>
      </c>
      <c r="CC261" s="80">
        <f t="shared" si="83"/>
        <v>0.47259999999999985</v>
      </c>
      <c r="CD261" s="80">
        <f t="shared" si="83"/>
        <v>0.47429999999999983</v>
      </c>
      <c r="CE261" s="79">
        <v>0.47599999999999998</v>
      </c>
      <c r="CF261" s="80"/>
      <c r="CG261" s="80"/>
      <c r="CH261" s="80"/>
      <c r="CI261" s="80"/>
      <c r="CJ261" s="80"/>
      <c r="CK261" s="80"/>
      <c r="CL261" s="80"/>
      <c r="CM261" s="80"/>
      <c r="CN261" s="80"/>
      <c r="CO261" s="79"/>
      <c r="CP261" s="80"/>
      <c r="CQ261" s="80"/>
      <c r="CR261" s="80"/>
      <c r="CS261" s="80"/>
      <c r="CT261" s="80"/>
      <c r="CU261" s="80"/>
      <c r="CV261" s="80"/>
      <c r="CW261" s="80"/>
      <c r="CX261" s="80"/>
      <c r="CY261" s="79"/>
      <c r="CZ261" s="80"/>
      <c r="DA261" s="80"/>
      <c r="DB261" s="80"/>
      <c r="DC261" s="80"/>
      <c r="DD261" s="80"/>
      <c r="DE261" s="80"/>
      <c r="DF261" s="80"/>
      <c r="DG261" s="80"/>
      <c r="DH261" s="80"/>
      <c r="DI261" s="79"/>
      <c r="DJ261" s="80"/>
      <c r="DK261" s="80"/>
      <c r="DL261" s="80"/>
      <c r="DM261" s="80"/>
      <c r="DN261" s="80"/>
      <c r="DO261" s="80"/>
      <c r="DP261" s="80"/>
      <c r="DQ261" s="80"/>
      <c r="DR261" s="80"/>
      <c r="DS261" s="79"/>
    </row>
    <row r="262" spans="2:123">
      <c r="B262" s="3" t="s">
        <v>93</v>
      </c>
      <c r="C262" s="79">
        <v>0.65100000000000002</v>
      </c>
      <c r="D262" s="80">
        <f t="shared" ref="D262:L262" si="84">C262+($M$262-$C$262)/10</f>
        <v>0.63650000000000007</v>
      </c>
      <c r="E262" s="80">
        <f t="shared" si="84"/>
        <v>0.62200000000000011</v>
      </c>
      <c r="F262" s="80">
        <f t="shared" si="84"/>
        <v>0.60750000000000015</v>
      </c>
      <c r="G262" s="80">
        <f t="shared" si="84"/>
        <v>0.59300000000000019</v>
      </c>
      <c r="H262" s="80">
        <f t="shared" si="84"/>
        <v>0.57850000000000024</v>
      </c>
      <c r="I262" s="80">
        <f t="shared" si="84"/>
        <v>0.56400000000000028</v>
      </c>
      <c r="J262" s="80">
        <f t="shared" si="84"/>
        <v>0.54950000000000032</v>
      </c>
      <c r="K262" s="80">
        <f t="shared" si="84"/>
        <v>0.53500000000000036</v>
      </c>
      <c r="L262" s="80">
        <f t="shared" si="84"/>
        <v>0.52050000000000041</v>
      </c>
      <c r="M262" s="79">
        <v>0.50600000000000001</v>
      </c>
      <c r="N262" s="80">
        <f t="shared" ref="N262:V262" si="85">M262+($W$262-$M$262)/10</f>
        <v>0.4955</v>
      </c>
      <c r="O262" s="80">
        <f t="shared" si="85"/>
        <v>0.48499999999999999</v>
      </c>
      <c r="P262" s="80">
        <f t="shared" si="85"/>
        <v>0.47449999999999998</v>
      </c>
      <c r="Q262" s="80">
        <f t="shared" si="85"/>
        <v>0.46399999999999997</v>
      </c>
      <c r="R262" s="80">
        <f t="shared" si="85"/>
        <v>0.45349999999999996</v>
      </c>
      <c r="S262" s="80">
        <f t="shared" si="85"/>
        <v>0.44299999999999995</v>
      </c>
      <c r="T262" s="80">
        <f t="shared" si="85"/>
        <v>0.43249999999999994</v>
      </c>
      <c r="U262" s="80">
        <f t="shared" si="85"/>
        <v>0.42199999999999993</v>
      </c>
      <c r="V262" s="80">
        <f t="shared" si="85"/>
        <v>0.41149999999999992</v>
      </c>
      <c r="W262" s="79">
        <v>0.40100000000000002</v>
      </c>
      <c r="X262" s="80">
        <f t="shared" ref="X262:AF262" si="86">W262+($AG$262-$W$262)/10</f>
        <v>0.39400000000000002</v>
      </c>
      <c r="Y262" s="80">
        <f t="shared" si="86"/>
        <v>0.38700000000000001</v>
      </c>
      <c r="Z262" s="80">
        <f t="shared" si="86"/>
        <v>0.38</v>
      </c>
      <c r="AA262" s="80">
        <f t="shared" si="86"/>
        <v>0.373</v>
      </c>
      <c r="AB262" s="80">
        <f t="shared" si="86"/>
        <v>0.36599999999999999</v>
      </c>
      <c r="AC262" s="80">
        <f t="shared" si="86"/>
        <v>0.35899999999999999</v>
      </c>
      <c r="AD262" s="80">
        <f t="shared" si="86"/>
        <v>0.35199999999999998</v>
      </c>
      <c r="AE262" s="80">
        <f t="shared" si="86"/>
        <v>0.34499999999999997</v>
      </c>
      <c r="AF262" s="80">
        <f t="shared" si="86"/>
        <v>0.33799999999999997</v>
      </c>
      <c r="AG262" s="79">
        <v>0.33100000000000002</v>
      </c>
      <c r="AH262" s="80">
        <f t="shared" ref="AH262:AP262" si="87">AG262+($AQ$262-$AG$262)/10</f>
        <v>0.32690000000000002</v>
      </c>
      <c r="AI262" s="80">
        <f t="shared" si="87"/>
        <v>0.32280000000000003</v>
      </c>
      <c r="AJ262" s="80">
        <f t="shared" si="87"/>
        <v>0.31870000000000004</v>
      </c>
      <c r="AK262" s="80">
        <f t="shared" si="87"/>
        <v>0.31460000000000005</v>
      </c>
      <c r="AL262" s="80">
        <f t="shared" si="87"/>
        <v>0.31050000000000005</v>
      </c>
      <c r="AM262" s="80">
        <f t="shared" si="87"/>
        <v>0.30640000000000006</v>
      </c>
      <c r="AN262" s="80">
        <f t="shared" si="87"/>
        <v>0.30230000000000007</v>
      </c>
      <c r="AO262" s="80">
        <f t="shared" si="87"/>
        <v>0.29820000000000008</v>
      </c>
      <c r="AP262" s="80">
        <f t="shared" si="87"/>
        <v>0.29410000000000008</v>
      </c>
      <c r="AQ262" s="79">
        <v>0.28999999999999998</v>
      </c>
      <c r="AR262" s="80">
        <f t="shared" ref="AR262:AZ262" si="88">AQ262+($BA$262-$AQ$262)/10</f>
        <v>0.28809999999999997</v>
      </c>
      <c r="AS262" s="80">
        <f t="shared" si="88"/>
        <v>0.28619999999999995</v>
      </c>
      <c r="AT262" s="80">
        <f t="shared" si="88"/>
        <v>0.28429999999999994</v>
      </c>
      <c r="AU262" s="80">
        <f t="shared" si="88"/>
        <v>0.28239999999999993</v>
      </c>
      <c r="AV262" s="80">
        <f t="shared" si="88"/>
        <v>0.28049999999999992</v>
      </c>
      <c r="AW262" s="80">
        <f t="shared" si="88"/>
        <v>0.2785999999999999</v>
      </c>
      <c r="AX262" s="80">
        <f t="shared" si="88"/>
        <v>0.27669999999999989</v>
      </c>
      <c r="AY262" s="80">
        <f t="shared" si="88"/>
        <v>0.27479999999999988</v>
      </c>
      <c r="AZ262" s="80">
        <f t="shared" si="88"/>
        <v>0.27289999999999986</v>
      </c>
      <c r="BA262" s="79">
        <v>0.27100000000000002</v>
      </c>
      <c r="BB262" s="80">
        <f t="shared" ref="BB262:BJ262" si="89">BA262+($BK$262-$BA$262)/10</f>
        <v>0.27080000000000004</v>
      </c>
      <c r="BC262" s="80">
        <f t="shared" si="89"/>
        <v>0.27060000000000006</v>
      </c>
      <c r="BD262" s="80">
        <f t="shared" si="89"/>
        <v>0.27040000000000008</v>
      </c>
      <c r="BE262" s="80">
        <f t="shared" si="89"/>
        <v>0.27020000000000011</v>
      </c>
      <c r="BF262" s="80">
        <f t="shared" si="89"/>
        <v>0.27000000000000013</v>
      </c>
      <c r="BG262" s="80">
        <f t="shared" si="89"/>
        <v>0.26980000000000015</v>
      </c>
      <c r="BH262" s="80">
        <f t="shared" si="89"/>
        <v>0.26960000000000017</v>
      </c>
      <c r="BI262" s="80">
        <f t="shared" si="89"/>
        <v>0.26940000000000019</v>
      </c>
      <c r="BJ262" s="80">
        <f t="shared" si="89"/>
        <v>0.26920000000000022</v>
      </c>
      <c r="BK262" s="79">
        <v>0.26900000000000002</v>
      </c>
      <c r="BL262" s="80">
        <f t="shared" ref="BL262:BT262" si="90">BK262+($BU$262-$BK$262)/10</f>
        <v>0.26990000000000003</v>
      </c>
      <c r="BM262" s="80">
        <f t="shared" si="90"/>
        <v>0.27080000000000004</v>
      </c>
      <c r="BN262" s="80">
        <f t="shared" si="90"/>
        <v>0.27170000000000005</v>
      </c>
      <c r="BO262" s="80">
        <f t="shared" si="90"/>
        <v>0.27260000000000006</v>
      </c>
      <c r="BP262" s="80">
        <f t="shared" si="90"/>
        <v>0.27350000000000008</v>
      </c>
      <c r="BQ262" s="80">
        <f t="shared" si="90"/>
        <v>0.27440000000000009</v>
      </c>
      <c r="BR262" s="80">
        <f t="shared" si="90"/>
        <v>0.2753000000000001</v>
      </c>
      <c r="BS262" s="80">
        <f t="shared" si="90"/>
        <v>0.27620000000000011</v>
      </c>
      <c r="BT262" s="80">
        <f t="shared" si="90"/>
        <v>0.27710000000000012</v>
      </c>
      <c r="BU262" s="79">
        <v>0.27800000000000002</v>
      </c>
      <c r="BV262" s="80">
        <f t="shared" ref="BV262:CD262" si="91">BU262+($CE$262-$BU$262)/10</f>
        <v>0.27940000000000004</v>
      </c>
      <c r="BW262" s="80">
        <f t="shared" si="91"/>
        <v>0.28080000000000005</v>
      </c>
      <c r="BX262" s="80">
        <f t="shared" si="91"/>
        <v>0.28220000000000006</v>
      </c>
      <c r="BY262" s="80">
        <f t="shared" si="91"/>
        <v>0.28360000000000007</v>
      </c>
      <c r="BZ262" s="80">
        <f t="shared" si="91"/>
        <v>0.28500000000000009</v>
      </c>
      <c r="CA262" s="80">
        <f t="shared" si="91"/>
        <v>0.2864000000000001</v>
      </c>
      <c r="CB262" s="80">
        <f t="shared" si="91"/>
        <v>0.28780000000000011</v>
      </c>
      <c r="CC262" s="80">
        <f t="shared" si="91"/>
        <v>0.28920000000000012</v>
      </c>
      <c r="CD262" s="80">
        <f t="shared" si="91"/>
        <v>0.29060000000000014</v>
      </c>
      <c r="CE262" s="79">
        <v>0.29199999999999998</v>
      </c>
      <c r="CF262" s="80">
        <f t="shared" ref="CF262:CN262" si="92">CE262+($CO$262-$CE$262)/10</f>
        <v>0.29330000000000001</v>
      </c>
      <c r="CG262" s="80">
        <f t="shared" si="92"/>
        <v>0.29460000000000003</v>
      </c>
      <c r="CH262" s="80">
        <f t="shared" si="92"/>
        <v>0.29590000000000005</v>
      </c>
      <c r="CI262" s="80">
        <f t="shared" si="92"/>
        <v>0.29720000000000008</v>
      </c>
      <c r="CJ262" s="80">
        <f t="shared" si="92"/>
        <v>0.2985000000000001</v>
      </c>
      <c r="CK262" s="80">
        <f t="shared" si="92"/>
        <v>0.29980000000000012</v>
      </c>
      <c r="CL262" s="80">
        <f t="shared" si="92"/>
        <v>0.30110000000000015</v>
      </c>
      <c r="CM262" s="80">
        <f t="shared" si="92"/>
        <v>0.30240000000000017</v>
      </c>
      <c r="CN262" s="80">
        <f t="shared" si="92"/>
        <v>0.30370000000000019</v>
      </c>
      <c r="CO262" s="79">
        <v>0.30499999999999999</v>
      </c>
      <c r="CP262" s="80"/>
      <c r="CQ262" s="80"/>
      <c r="CR262" s="80"/>
      <c r="CS262" s="80"/>
      <c r="CT262" s="80"/>
      <c r="CU262" s="80"/>
      <c r="CV262" s="80"/>
      <c r="CW262" s="80"/>
      <c r="CX262" s="80"/>
      <c r="CY262" s="79"/>
      <c r="CZ262" s="80"/>
      <c r="DA262" s="80"/>
      <c r="DB262" s="80"/>
      <c r="DC262" s="80"/>
      <c r="DD262" s="80"/>
      <c r="DE262" s="80"/>
      <c r="DF262" s="80"/>
      <c r="DG262" s="80"/>
      <c r="DH262" s="80"/>
      <c r="DI262" s="79"/>
      <c r="DJ262" s="80"/>
      <c r="DK262" s="80"/>
      <c r="DL262" s="80"/>
      <c r="DM262" s="80"/>
      <c r="DN262" s="80"/>
      <c r="DO262" s="80"/>
      <c r="DP262" s="80"/>
      <c r="DQ262" s="80"/>
      <c r="DR262" s="80"/>
      <c r="DS262" s="79"/>
    </row>
    <row r="263" spans="2:123">
      <c r="B263" s="1" t="s">
        <v>94</v>
      </c>
    </row>
    <row r="264" spans="2:123">
      <c r="B264" s="1"/>
    </row>
    <row r="265" spans="2:123" ht="17.25" customHeight="1">
      <c r="B265" s="196" t="s">
        <v>149</v>
      </c>
      <c r="C265" s="83">
        <f>C266+C267</f>
        <v>1</v>
      </c>
    </row>
    <row r="266" spans="2:123">
      <c r="B266" s="68" t="s">
        <v>147</v>
      </c>
      <c r="C266" s="46">
        <v>0.75</v>
      </c>
    </row>
    <row r="267" spans="2:123">
      <c r="B267" s="52" t="s">
        <v>148</v>
      </c>
      <c r="C267" s="47">
        <v>0.25</v>
      </c>
    </row>
    <row r="268" spans="2:123">
      <c r="B268" s="1" t="s">
        <v>158</v>
      </c>
    </row>
    <row r="269" spans="2:123">
      <c r="B269" s="1"/>
    </row>
    <row r="270" spans="2:123" ht="22.5">
      <c r="B270" s="196" t="s">
        <v>152</v>
      </c>
      <c r="C270" s="886" t="s">
        <v>153</v>
      </c>
      <c r="D270" s="887"/>
      <c r="E270" s="887"/>
      <c r="F270" s="887"/>
      <c r="G270" s="887"/>
      <c r="H270" s="888"/>
    </row>
    <row r="271" spans="2:123" ht="33.75">
      <c r="B271" s="96" t="s">
        <v>116</v>
      </c>
      <c r="C271" s="148" t="s">
        <v>295</v>
      </c>
      <c r="D271" s="148" t="s">
        <v>300</v>
      </c>
      <c r="E271" s="148" t="s">
        <v>296</v>
      </c>
      <c r="F271" s="148" t="s">
        <v>297</v>
      </c>
      <c r="G271" s="148" t="s">
        <v>298</v>
      </c>
      <c r="H271" s="148" t="s">
        <v>299</v>
      </c>
    </row>
    <row r="272" spans="2:123">
      <c r="B272" s="3" t="s">
        <v>142</v>
      </c>
      <c r="C272" s="80">
        <v>5.7000000000000002E-2</v>
      </c>
      <c r="D272" s="80">
        <v>2.4E-2</v>
      </c>
      <c r="E272" s="80">
        <v>8.1000000000000003E-2</v>
      </c>
      <c r="F272" s="80">
        <v>3.3000000000000002E-2</v>
      </c>
      <c r="G272" s="80">
        <v>0.09</v>
      </c>
      <c r="H272" s="80">
        <v>0.115</v>
      </c>
    </row>
    <row r="273" spans="2:10">
      <c r="B273" s="3" t="s">
        <v>143</v>
      </c>
      <c r="C273" s="80">
        <v>5.0999999999999997E-2</v>
      </c>
      <c r="D273" s="80">
        <v>2.1999999999999999E-2</v>
      </c>
      <c r="E273" s="80">
        <v>7.2999999999999995E-2</v>
      </c>
      <c r="F273" s="80">
        <v>0.03</v>
      </c>
      <c r="G273" s="80">
        <v>8.1000000000000003E-2</v>
      </c>
      <c r="H273" s="80">
        <v>0.10299999999999999</v>
      </c>
    </row>
    <row r="274" spans="2:10">
      <c r="B274" s="3" t="s">
        <v>144</v>
      </c>
      <c r="C274" s="80">
        <v>7.0000000000000007E-2</v>
      </c>
      <c r="D274" s="80">
        <v>2.9000000000000001E-2</v>
      </c>
      <c r="E274" s="80">
        <v>9.9000000000000005E-2</v>
      </c>
      <c r="F274" s="80">
        <v>0.04</v>
      </c>
      <c r="G274" s="80">
        <v>0.11</v>
      </c>
      <c r="H274" s="80">
        <v>0.14099999999999999</v>
      </c>
      <c r="J274" s="2" t="s">
        <v>162</v>
      </c>
    </row>
    <row r="275" spans="2:10">
      <c r="B275" s="3" t="s">
        <v>145</v>
      </c>
      <c r="C275" s="80">
        <v>0.27600000000000002</v>
      </c>
      <c r="D275" s="80">
        <v>0.13100000000000001</v>
      </c>
      <c r="E275" s="80">
        <v>0.40699999999999997</v>
      </c>
      <c r="F275" s="80">
        <v>0.184</v>
      </c>
      <c r="G275" s="80">
        <v>0.46</v>
      </c>
      <c r="H275" s="80">
        <v>0.51900000000000002</v>
      </c>
      <c r="J275" s="2" t="s">
        <v>163</v>
      </c>
    </row>
    <row r="276" spans="2:10">
      <c r="B276" s="3" t="s">
        <v>146</v>
      </c>
      <c r="C276" s="80">
        <v>0.39300000000000002</v>
      </c>
      <c r="D276" s="80">
        <v>0.16500000000000001</v>
      </c>
      <c r="E276" s="80">
        <v>0.55800000000000005</v>
      </c>
      <c r="F276" s="80">
        <v>0.22800000000000001</v>
      </c>
      <c r="G276" s="80">
        <v>0.621</v>
      </c>
      <c r="H276" s="80">
        <v>0.80400000000000005</v>
      </c>
      <c r="J276" s="2" t="s">
        <v>164</v>
      </c>
    </row>
    <row r="277" spans="2:10">
      <c r="B277" s="3" t="s">
        <v>93</v>
      </c>
      <c r="C277" s="80">
        <v>0.25600000000000001</v>
      </c>
      <c r="D277" s="80">
        <v>0.123</v>
      </c>
      <c r="E277" s="80">
        <v>0.379</v>
      </c>
      <c r="F277" s="80">
        <v>0.17399999999999999</v>
      </c>
      <c r="G277" s="80">
        <v>0.43</v>
      </c>
      <c r="H277" s="80">
        <v>0.47699999999999998</v>
      </c>
    </row>
    <row r="278" spans="2:10">
      <c r="B278" s="1" t="s">
        <v>154</v>
      </c>
    </row>
    <row r="280" spans="2:10" ht="16.5" customHeight="1">
      <c r="B280" s="196" t="s">
        <v>155</v>
      </c>
      <c r="C280" s="83" t="s">
        <v>156</v>
      </c>
    </row>
    <row r="281" spans="2:10">
      <c r="B281" s="68" t="s">
        <v>147</v>
      </c>
      <c r="C281" s="85">
        <f>0.523/$C$27</f>
        <v>0.68218618037635803</v>
      </c>
      <c r="E281" s="2" t="s">
        <v>157</v>
      </c>
    </row>
    <row r="282" spans="2:10">
      <c r="B282" s="52" t="s">
        <v>148</v>
      </c>
      <c r="C282" s="86">
        <f>0.57/$C$27</f>
        <v>0.74349163062050483</v>
      </c>
    </row>
    <row r="283" spans="2:10">
      <c r="B283" s="1" t="s">
        <v>510</v>
      </c>
    </row>
    <row r="284" spans="2:10">
      <c r="B284" s="1"/>
    </row>
    <row r="285" spans="2:10" ht="15.75" customHeight="1">
      <c r="B285" s="875" t="s">
        <v>161</v>
      </c>
      <c r="C285" s="889"/>
      <c r="D285" s="890"/>
    </row>
    <row r="286" spans="2:10" ht="16.5" customHeight="1">
      <c r="B286" s="97" t="s">
        <v>116</v>
      </c>
      <c r="C286" s="94" t="s">
        <v>159</v>
      </c>
      <c r="D286" s="94" t="s">
        <v>160</v>
      </c>
    </row>
    <row r="287" spans="2:10">
      <c r="B287" s="95" t="s">
        <v>142</v>
      </c>
      <c r="C287" s="98">
        <f>0.041/$C$27</f>
        <v>5.3479222553404739E-2</v>
      </c>
      <c r="D287" s="80">
        <f>3.643/$C$27</f>
        <v>4.7518245795622791</v>
      </c>
    </row>
    <row r="288" spans="2:10">
      <c r="B288" s="55" t="s">
        <v>143</v>
      </c>
      <c r="C288" s="99">
        <f>0.034/$C$27</f>
        <v>4.4348623580872222E-2</v>
      </c>
      <c r="D288" s="80">
        <f>2.429/$C$27</f>
        <v>3.1683178434687829</v>
      </c>
    </row>
    <row r="289" spans="2:8">
      <c r="B289" s="55" t="s">
        <v>144</v>
      </c>
      <c r="C289" s="99">
        <f>0.042/$C$27</f>
        <v>5.4783593835195099E-2</v>
      </c>
      <c r="D289" s="80">
        <f>14.138/$C$27</f>
        <v>18.441201181952103</v>
      </c>
    </row>
    <row r="290" spans="2:8">
      <c r="B290" s="55" t="s">
        <v>145</v>
      </c>
      <c r="C290" s="99">
        <f>0.065/$C$27</f>
        <v>8.478413331637337E-2</v>
      </c>
      <c r="D290" s="80">
        <f>15.584/$C$27</f>
        <v>20.327322055420961</v>
      </c>
    </row>
    <row r="291" spans="2:8">
      <c r="B291" s="55" t="s">
        <v>146</v>
      </c>
      <c r="C291" s="99">
        <f>0.12/$C$27</f>
        <v>0.15652455381484312</v>
      </c>
      <c r="D291" s="80">
        <f>18.014/$C$27</f>
        <v>23.496944270171532</v>
      </c>
    </row>
    <row r="292" spans="2:8">
      <c r="B292" s="55" t="s">
        <v>93</v>
      </c>
      <c r="C292" s="99">
        <f>0.084/$C$27</f>
        <v>0.1095671876703902</v>
      </c>
      <c r="D292" s="80">
        <f>16.393/$C$27</f>
        <v>21.382558422389362</v>
      </c>
    </row>
    <row r="293" spans="2:8">
      <c r="B293" s="1" t="s">
        <v>511</v>
      </c>
    </row>
    <row r="295" spans="2:8" ht="23.25" customHeight="1">
      <c r="B295" s="875" t="s">
        <v>165</v>
      </c>
      <c r="C295" s="878"/>
      <c r="D295" s="878"/>
      <c r="E295" s="878"/>
      <c r="F295" s="100"/>
    </row>
    <row r="296" spans="2:8" ht="22.5" customHeight="1">
      <c r="B296" s="97" t="s">
        <v>95</v>
      </c>
      <c r="C296" s="93" t="s">
        <v>75</v>
      </c>
      <c r="D296" s="93" t="s">
        <v>76</v>
      </c>
      <c r="E296" s="93" t="s">
        <v>77</v>
      </c>
      <c r="F296" s="100"/>
    </row>
    <row r="297" spans="2:8" ht="22.5" customHeight="1">
      <c r="B297" s="56" t="s">
        <v>166</v>
      </c>
      <c r="C297" s="103">
        <v>1.1120000000000001</v>
      </c>
      <c r="D297" s="103">
        <v>6.5410000000000004</v>
      </c>
      <c r="E297" s="103">
        <v>47.969000000000001</v>
      </c>
      <c r="F297" s="101"/>
      <c r="G297" s="150" t="s">
        <v>302</v>
      </c>
      <c r="H297" s="2" t="s">
        <v>173</v>
      </c>
    </row>
    <row r="298" spans="2:8" ht="22.5">
      <c r="B298" s="102" t="s">
        <v>167</v>
      </c>
      <c r="C298" s="103">
        <v>0.26</v>
      </c>
      <c r="D298" s="103">
        <v>4.585</v>
      </c>
      <c r="E298" s="103">
        <v>24.452999999999999</v>
      </c>
      <c r="F298" s="101"/>
      <c r="G298" s="150" t="s">
        <v>301</v>
      </c>
    </row>
    <row r="299" spans="2:8" ht="22.5">
      <c r="B299" s="56" t="s">
        <v>168</v>
      </c>
      <c r="C299" s="103">
        <v>0.754</v>
      </c>
      <c r="D299" s="103">
        <v>4.4370000000000003</v>
      </c>
      <c r="E299" s="103">
        <v>29.582999999999998</v>
      </c>
      <c r="F299" s="101"/>
      <c r="G299" s="150" t="s">
        <v>307</v>
      </c>
    </row>
    <row r="300" spans="2:8" ht="22.5">
      <c r="B300" s="102" t="s">
        <v>169</v>
      </c>
      <c r="C300" s="103">
        <v>0.14299999999999999</v>
      </c>
      <c r="D300" s="103">
        <v>1.054</v>
      </c>
      <c r="E300" s="103">
        <v>11.382999999999999</v>
      </c>
      <c r="F300" s="101"/>
      <c r="G300" s="150" t="s">
        <v>306</v>
      </c>
    </row>
    <row r="301" spans="2:8" ht="22.5">
      <c r="B301" s="56" t="s">
        <v>170</v>
      </c>
      <c r="C301" s="103">
        <v>0.78200000000000003</v>
      </c>
      <c r="D301" s="103">
        <v>1.1499999999999999</v>
      </c>
      <c r="E301" s="103">
        <v>6.9029999999999996</v>
      </c>
      <c r="F301" s="101"/>
      <c r="G301" s="150" t="s">
        <v>303</v>
      </c>
    </row>
    <row r="302" spans="2:8" ht="22.5">
      <c r="B302" s="56" t="s">
        <v>171</v>
      </c>
      <c r="C302" s="103">
        <v>0.26500000000000001</v>
      </c>
      <c r="D302" s="103">
        <v>1.216</v>
      </c>
      <c r="E302" s="103">
        <v>12.846</v>
      </c>
      <c r="F302" s="101"/>
      <c r="G302" s="150" t="s">
        <v>304</v>
      </c>
    </row>
    <row r="303" spans="2:8" ht="22.5">
      <c r="B303" s="56" t="s">
        <v>172</v>
      </c>
      <c r="C303" s="103">
        <v>0.24099999999999999</v>
      </c>
      <c r="D303" s="103">
        <v>0.97299999999999998</v>
      </c>
      <c r="E303" s="103">
        <v>6.8970000000000002</v>
      </c>
      <c r="F303" s="101"/>
      <c r="G303" s="150" t="s">
        <v>305</v>
      </c>
    </row>
    <row r="304" spans="2:8">
      <c r="B304" s="1" t="s">
        <v>432</v>
      </c>
    </row>
    <row r="306" spans="2:43" ht="22.5">
      <c r="B306" s="196" t="s">
        <v>174</v>
      </c>
      <c r="C306" s="71">
        <v>2021</v>
      </c>
      <c r="D306" s="71">
        <v>2022</v>
      </c>
      <c r="E306" s="71">
        <v>2023</v>
      </c>
      <c r="F306" s="71">
        <v>2024</v>
      </c>
      <c r="G306" s="71">
        <v>2025</v>
      </c>
      <c r="H306" s="71">
        <v>2026</v>
      </c>
      <c r="I306" s="71">
        <v>2027</v>
      </c>
      <c r="J306" s="71">
        <v>2028</v>
      </c>
      <c r="K306" s="71">
        <v>2029</v>
      </c>
      <c r="L306" s="71">
        <v>2030</v>
      </c>
      <c r="M306" s="71">
        <v>2031</v>
      </c>
      <c r="N306" s="71">
        <v>2032</v>
      </c>
      <c r="O306" s="71">
        <v>2033</v>
      </c>
      <c r="P306" s="71">
        <v>2034</v>
      </c>
      <c r="Q306" s="71">
        <v>2035</v>
      </c>
      <c r="R306" s="71">
        <v>2036</v>
      </c>
      <c r="S306" s="71">
        <v>2037</v>
      </c>
      <c r="T306" s="71">
        <v>2038</v>
      </c>
      <c r="U306" s="71">
        <v>2039</v>
      </c>
      <c r="V306" s="71">
        <v>2040</v>
      </c>
      <c r="W306" s="71">
        <v>2041</v>
      </c>
      <c r="X306" s="71">
        <v>2042</v>
      </c>
      <c r="Y306" s="71">
        <v>2043</v>
      </c>
      <c r="Z306" s="71">
        <v>2044</v>
      </c>
      <c r="AA306" s="71">
        <v>2045</v>
      </c>
      <c r="AB306" s="71">
        <v>2046</v>
      </c>
      <c r="AC306" s="71">
        <v>2047</v>
      </c>
      <c r="AD306" s="71">
        <v>2048</v>
      </c>
      <c r="AE306" s="71">
        <v>2049</v>
      </c>
      <c r="AF306" s="71">
        <v>2050</v>
      </c>
      <c r="AG306" s="71">
        <v>2051</v>
      </c>
      <c r="AH306" s="71">
        <v>2052</v>
      </c>
      <c r="AI306" s="71">
        <v>2053</v>
      </c>
      <c r="AJ306" s="71">
        <v>2054</v>
      </c>
      <c r="AK306" s="71">
        <v>2055</v>
      </c>
      <c r="AL306" s="71">
        <v>2056</v>
      </c>
      <c r="AM306" s="71">
        <v>2057</v>
      </c>
      <c r="AN306" s="71">
        <v>2058</v>
      </c>
      <c r="AO306" s="71">
        <v>2059</v>
      </c>
      <c r="AP306" s="71">
        <v>2060</v>
      </c>
    </row>
    <row r="307" spans="2:43">
      <c r="B307" s="55" t="s">
        <v>75</v>
      </c>
      <c r="C307" s="104">
        <f>3296699/$C$27</f>
        <v>4300119.5003069965</v>
      </c>
      <c r="D307" s="104">
        <f t="shared" ref="D307:AP307" si="93">ROUND(C307*(1+(0.7*D42)),2)</f>
        <v>4352001.0599999996</v>
      </c>
      <c r="E307" s="104">
        <f t="shared" si="93"/>
        <v>4390544.62</v>
      </c>
      <c r="F307" s="104">
        <f t="shared" si="93"/>
        <v>4444534.12</v>
      </c>
      <c r="G307" s="104">
        <f t="shared" si="93"/>
        <v>4527109.25</v>
      </c>
      <c r="H307" s="104">
        <f t="shared" si="93"/>
        <v>4587573.21</v>
      </c>
      <c r="I307" s="104">
        <f t="shared" si="93"/>
        <v>4642165.33</v>
      </c>
      <c r="J307" s="104">
        <f t="shared" si="93"/>
        <v>4697407.0999999996</v>
      </c>
      <c r="K307" s="104">
        <f t="shared" si="93"/>
        <v>4753306.24</v>
      </c>
      <c r="L307" s="104">
        <f t="shared" si="93"/>
        <v>4809870.58</v>
      </c>
      <c r="M307" s="104">
        <f t="shared" si="93"/>
        <v>4850273.49</v>
      </c>
      <c r="N307" s="104">
        <f t="shared" si="93"/>
        <v>4891015.79</v>
      </c>
      <c r="O307" s="104">
        <f t="shared" si="93"/>
        <v>4932100.32</v>
      </c>
      <c r="P307" s="104">
        <f t="shared" si="93"/>
        <v>4973529.96</v>
      </c>
      <c r="Q307" s="104">
        <f t="shared" si="93"/>
        <v>5015307.6100000003</v>
      </c>
      <c r="R307" s="104">
        <f t="shared" si="93"/>
        <v>5057436.1900000004</v>
      </c>
      <c r="S307" s="104">
        <f t="shared" si="93"/>
        <v>5099918.6500000004</v>
      </c>
      <c r="T307" s="104">
        <f t="shared" si="93"/>
        <v>5142757.97</v>
      </c>
      <c r="U307" s="104">
        <f t="shared" si="93"/>
        <v>5185957.1399999997</v>
      </c>
      <c r="V307" s="104">
        <f t="shared" si="93"/>
        <v>5229519.18</v>
      </c>
      <c r="W307" s="104">
        <f t="shared" si="93"/>
        <v>5266125.8099999996</v>
      </c>
      <c r="X307" s="104">
        <f t="shared" si="93"/>
        <v>5302988.6900000004</v>
      </c>
      <c r="Y307" s="104">
        <f t="shared" si="93"/>
        <v>5340109.6100000003</v>
      </c>
      <c r="Z307" s="104">
        <f t="shared" si="93"/>
        <v>5377490.3799999999</v>
      </c>
      <c r="AA307" s="104">
        <f t="shared" si="93"/>
        <v>5415132.8099999996</v>
      </c>
      <c r="AB307" s="104">
        <f t="shared" si="93"/>
        <v>5453038.7400000002</v>
      </c>
      <c r="AC307" s="104">
        <f t="shared" si="93"/>
        <v>5491210.0099999998</v>
      </c>
      <c r="AD307" s="104">
        <f t="shared" si="93"/>
        <v>5529648.4800000004</v>
      </c>
      <c r="AE307" s="104">
        <f t="shared" si="93"/>
        <v>5568356.0199999996</v>
      </c>
      <c r="AF307" s="104">
        <f t="shared" si="93"/>
        <v>5607334.5099999998</v>
      </c>
      <c r="AG307" s="104">
        <f t="shared" si="93"/>
        <v>5658361.25</v>
      </c>
      <c r="AH307" s="104">
        <f t="shared" si="93"/>
        <v>5709852.3399999999</v>
      </c>
      <c r="AI307" s="104">
        <f t="shared" si="93"/>
        <v>5761812</v>
      </c>
      <c r="AJ307" s="104">
        <f t="shared" si="93"/>
        <v>5814244.4900000002</v>
      </c>
      <c r="AK307" s="104">
        <f t="shared" si="93"/>
        <v>5867154.1100000003</v>
      </c>
      <c r="AL307" s="104">
        <f t="shared" si="93"/>
        <v>5920545.21</v>
      </c>
      <c r="AM307" s="104">
        <f t="shared" si="93"/>
        <v>5974422.1699999999</v>
      </c>
      <c r="AN307" s="104">
        <f t="shared" si="93"/>
        <v>6028789.4100000001</v>
      </c>
      <c r="AO307" s="104">
        <f t="shared" si="93"/>
        <v>6083651.3899999997</v>
      </c>
      <c r="AP307" s="104">
        <f t="shared" si="93"/>
        <v>6139012.6200000001</v>
      </c>
      <c r="AQ307" s="117">
        <f>SUM(C307:AP307)</f>
        <v>209191727.36030701</v>
      </c>
    </row>
    <row r="308" spans="2:43">
      <c r="B308" s="55" t="s">
        <v>76</v>
      </c>
      <c r="C308" s="104">
        <f>468484/$C$27</f>
        <v>611077.07557827479</v>
      </c>
      <c r="D308" s="104">
        <f t="shared" ref="D308:AP308" si="94">ROUND(C308*(1+(0.7*D42)),2)</f>
        <v>618449.81000000006</v>
      </c>
      <c r="E308" s="104">
        <f t="shared" si="94"/>
        <v>623927.12</v>
      </c>
      <c r="F308" s="104">
        <f t="shared" si="94"/>
        <v>631599.41</v>
      </c>
      <c r="G308" s="104">
        <f t="shared" si="94"/>
        <v>643333.91</v>
      </c>
      <c r="H308" s="104">
        <f t="shared" si="94"/>
        <v>651926.26</v>
      </c>
      <c r="I308" s="104">
        <f t="shared" si="94"/>
        <v>659684.18000000005</v>
      </c>
      <c r="J308" s="104">
        <f t="shared" si="94"/>
        <v>667534.42000000004</v>
      </c>
      <c r="K308" s="104">
        <f t="shared" si="94"/>
        <v>675478.08</v>
      </c>
      <c r="L308" s="104">
        <f t="shared" si="94"/>
        <v>683516.27</v>
      </c>
      <c r="M308" s="104">
        <f t="shared" si="94"/>
        <v>689257.81</v>
      </c>
      <c r="N308" s="104">
        <f t="shared" si="94"/>
        <v>695047.58</v>
      </c>
      <c r="O308" s="104">
        <f t="shared" si="94"/>
        <v>700885.98</v>
      </c>
      <c r="P308" s="104">
        <f t="shared" si="94"/>
        <v>706773.42</v>
      </c>
      <c r="Q308" s="104">
        <f t="shared" si="94"/>
        <v>712710.32</v>
      </c>
      <c r="R308" s="104">
        <f t="shared" si="94"/>
        <v>718697.09</v>
      </c>
      <c r="S308" s="104">
        <f t="shared" si="94"/>
        <v>724734.15</v>
      </c>
      <c r="T308" s="104">
        <f t="shared" si="94"/>
        <v>730821.92</v>
      </c>
      <c r="U308" s="104">
        <f t="shared" si="94"/>
        <v>736960.82</v>
      </c>
      <c r="V308" s="104">
        <f t="shared" si="94"/>
        <v>743151.29</v>
      </c>
      <c r="W308" s="104">
        <f t="shared" si="94"/>
        <v>748353.35</v>
      </c>
      <c r="X308" s="104">
        <f t="shared" si="94"/>
        <v>753591.82</v>
      </c>
      <c r="Y308" s="104">
        <f t="shared" si="94"/>
        <v>758866.96</v>
      </c>
      <c r="Z308" s="104">
        <f t="shared" si="94"/>
        <v>764179.03</v>
      </c>
      <c r="AA308" s="104">
        <f t="shared" si="94"/>
        <v>769528.28</v>
      </c>
      <c r="AB308" s="104">
        <f t="shared" si="94"/>
        <v>774914.98</v>
      </c>
      <c r="AC308" s="104">
        <f t="shared" si="94"/>
        <v>780339.38</v>
      </c>
      <c r="AD308" s="104">
        <f t="shared" si="94"/>
        <v>785801.76</v>
      </c>
      <c r="AE308" s="104">
        <f t="shared" si="94"/>
        <v>791302.37</v>
      </c>
      <c r="AF308" s="104">
        <f t="shared" si="94"/>
        <v>796841.49</v>
      </c>
      <c r="AG308" s="104">
        <f t="shared" si="94"/>
        <v>804092.75</v>
      </c>
      <c r="AH308" s="104">
        <f t="shared" si="94"/>
        <v>811409.99</v>
      </c>
      <c r="AI308" s="104">
        <f t="shared" si="94"/>
        <v>818793.82</v>
      </c>
      <c r="AJ308" s="104">
        <f t="shared" si="94"/>
        <v>826244.84</v>
      </c>
      <c r="AK308" s="104">
        <f t="shared" si="94"/>
        <v>833763.67</v>
      </c>
      <c r="AL308" s="104">
        <f t="shared" si="94"/>
        <v>841350.92</v>
      </c>
      <c r="AM308" s="104">
        <f t="shared" si="94"/>
        <v>849007.21</v>
      </c>
      <c r="AN308" s="104">
        <f t="shared" si="94"/>
        <v>856733.18</v>
      </c>
      <c r="AO308" s="104">
        <f t="shared" si="94"/>
        <v>864529.45</v>
      </c>
      <c r="AP308" s="104">
        <f t="shared" si="94"/>
        <v>872396.67</v>
      </c>
      <c r="AQ308" s="117">
        <f t="shared" ref="AQ308:AQ309" si="95">SUM(C308:AP308)</f>
        <v>29727608.835578278</v>
      </c>
    </row>
    <row r="309" spans="2:43">
      <c r="B309" s="55" t="s">
        <v>77</v>
      </c>
      <c r="C309" s="104">
        <f>36161/$C$27</f>
        <v>47167.369920821184</v>
      </c>
      <c r="D309" s="104">
        <f t="shared" ref="D309:AP309" si="96">ROUND(C309*(1+(0.7*D42)),2)</f>
        <v>47736.45</v>
      </c>
      <c r="E309" s="104">
        <f t="shared" si="96"/>
        <v>48159.23</v>
      </c>
      <c r="F309" s="104">
        <f t="shared" si="96"/>
        <v>48751.43</v>
      </c>
      <c r="G309" s="104">
        <f t="shared" si="96"/>
        <v>49657.18</v>
      </c>
      <c r="H309" s="104">
        <f t="shared" si="96"/>
        <v>50320.4</v>
      </c>
      <c r="I309" s="104">
        <f t="shared" si="96"/>
        <v>50919.21</v>
      </c>
      <c r="J309" s="104">
        <f t="shared" si="96"/>
        <v>51525.15</v>
      </c>
      <c r="K309" s="104">
        <f t="shared" si="96"/>
        <v>52138.3</v>
      </c>
      <c r="L309" s="104">
        <f t="shared" si="96"/>
        <v>52758.75</v>
      </c>
      <c r="M309" s="104">
        <f t="shared" si="96"/>
        <v>53201.919999999998</v>
      </c>
      <c r="N309" s="104">
        <f t="shared" si="96"/>
        <v>53648.82</v>
      </c>
      <c r="O309" s="104">
        <f t="shared" si="96"/>
        <v>54099.47</v>
      </c>
      <c r="P309" s="104">
        <f t="shared" si="96"/>
        <v>54553.91</v>
      </c>
      <c r="Q309" s="104">
        <f t="shared" si="96"/>
        <v>55012.160000000003</v>
      </c>
      <c r="R309" s="104">
        <f t="shared" si="96"/>
        <v>55474.26</v>
      </c>
      <c r="S309" s="104">
        <f t="shared" si="96"/>
        <v>55940.24</v>
      </c>
      <c r="T309" s="104">
        <f t="shared" si="96"/>
        <v>56410.14</v>
      </c>
      <c r="U309" s="104">
        <f t="shared" si="96"/>
        <v>56883.99</v>
      </c>
      <c r="V309" s="104">
        <f t="shared" si="96"/>
        <v>57361.82</v>
      </c>
      <c r="W309" s="104">
        <f t="shared" si="96"/>
        <v>57763.35</v>
      </c>
      <c r="X309" s="104">
        <f t="shared" si="96"/>
        <v>58167.69</v>
      </c>
      <c r="Y309" s="104">
        <f t="shared" si="96"/>
        <v>58574.86</v>
      </c>
      <c r="Z309" s="104">
        <f t="shared" si="96"/>
        <v>58984.88</v>
      </c>
      <c r="AA309" s="104">
        <f t="shared" si="96"/>
        <v>59397.77</v>
      </c>
      <c r="AB309" s="104">
        <f t="shared" si="96"/>
        <v>59813.55</v>
      </c>
      <c r="AC309" s="104">
        <f t="shared" si="96"/>
        <v>60232.24</v>
      </c>
      <c r="AD309" s="104">
        <f t="shared" si="96"/>
        <v>60653.87</v>
      </c>
      <c r="AE309" s="104">
        <f t="shared" si="96"/>
        <v>61078.45</v>
      </c>
      <c r="AF309" s="104">
        <f t="shared" si="96"/>
        <v>61506</v>
      </c>
      <c r="AG309" s="104">
        <f t="shared" si="96"/>
        <v>62065.7</v>
      </c>
      <c r="AH309" s="104">
        <f t="shared" si="96"/>
        <v>62630.5</v>
      </c>
      <c r="AI309" s="104">
        <f t="shared" si="96"/>
        <v>63200.44</v>
      </c>
      <c r="AJ309" s="104">
        <f t="shared" si="96"/>
        <v>63775.56</v>
      </c>
      <c r="AK309" s="104">
        <f t="shared" si="96"/>
        <v>64355.92</v>
      </c>
      <c r="AL309" s="104">
        <f t="shared" si="96"/>
        <v>64941.56</v>
      </c>
      <c r="AM309" s="104">
        <f t="shared" si="96"/>
        <v>65532.53</v>
      </c>
      <c r="AN309" s="104">
        <f t="shared" si="96"/>
        <v>66128.88</v>
      </c>
      <c r="AO309" s="104">
        <f t="shared" si="96"/>
        <v>66730.649999999994</v>
      </c>
      <c r="AP309" s="104">
        <f t="shared" si="96"/>
        <v>67337.899999999994</v>
      </c>
      <c r="AQ309" s="117">
        <f t="shared" si="95"/>
        <v>2294592.4999208213</v>
      </c>
    </row>
    <row r="310" spans="2:43">
      <c r="B310" s="1" t="s">
        <v>509</v>
      </c>
    </row>
    <row r="311" spans="2:43">
      <c r="B311" s="1"/>
    </row>
    <row r="312" spans="2:43" ht="16.5" customHeight="1">
      <c r="B312" s="875" t="s">
        <v>201</v>
      </c>
      <c r="C312" s="878"/>
      <c r="D312" s="878"/>
      <c r="E312" s="878"/>
      <c r="F312" s="885"/>
      <c r="G312" s="885"/>
    </row>
    <row r="313" spans="2:43" ht="16.5" customHeight="1">
      <c r="B313" s="97" t="s">
        <v>116</v>
      </c>
      <c r="C313" s="105" t="s">
        <v>183</v>
      </c>
      <c r="D313" s="105" t="s">
        <v>184</v>
      </c>
      <c r="E313" s="105" t="s">
        <v>185</v>
      </c>
      <c r="F313" s="106" t="s">
        <v>182</v>
      </c>
      <c r="G313" s="106" t="s">
        <v>186</v>
      </c>
    </row>
    <row r="314" spans="2:43">
      <c r="B314" s="56" t="s">
        <v>142</v>
      </c>
      <c r="C314" s="103">
        <v>0.03</v>
      </c>
      <c r="D314" s="103">
        <v>8.73</v>
      </c>
      <c r="E314" s="103">
        <v>0.02</v>
      </c>
      <c r="F314" s="86">
        <v>10.050000000000001</v>
      </c>
      <c r="G314" s="86">
        <v>1.1060000000000001</v>
      </c>
    </row>
    <row r="315" spans="2:43">
      <c r="B315" s="102" t="s">
        <v>143</v>
      </c>
      <c r="C315" s="103">
        <v>1.1000000000000001</v>
      </c>
      <c r="D315" s="103">
        <v>12.96</v>
      </c>
      <c r="E315" s="103">
        <v>0.02</v>
      </c>
      <c r="F315" s="86">
        <v>0.7</v>
      </c>
      <c r="G315" s="86">
        <v>6.5000000000000002E-2</v>
      </c>
    </row>
    <row r="316" spans="2:43">
      <c r="B316" s="56" t="s">
        <v>187</v>
      </c>
      <c r="C316" s="103">
        <v>1.52</v>
      </c>
      <c r="D316" s="103">
        <v>14.91</v>
      </c>
      <c r="E316" s="103">
        <v>0.02</v>
      </c>
      <c r="F316" s="86">
        <v>1.54</v>
      </c>
      <c r="G316" s="86">
        <v>3.7999999999999999E-2</v>
      </c>
    </row>
    <row r="317" spans="2:43">
      <c r="B317" s="102" t="s">
        <v>188</v>
      </c>
      <c r="C317" s="103">
        <v>0.94</v>
      </c>
      <c r="D317" s="103">
        <v>33.369999999999997</v>
      </c>
      <c r="E317" s="103">
        <v>0.02</v>
      </c>
      <c r="F317" s="86">
        <v>1.92</v>
      </c>
      <c r="G317" s="86">
        <v>1.2999999999999999E-2</v>
      </c>
    </row>
    <row r="318" spans="2:43">
      <c r="B318" s="56" t="s">
        <v>189</v>
      </c>
      <c r="C318" s="103">
        <v>0.94</v>
      </c>
      <c r="D318" s="103">
        <v>33.369999999999997</v>
      </c>
      <c r="E318" s="103">
        <v>0.02</v>
      </c>
      <c r="F318" s="86">
        <v>1.92</v>
      </c>
      <c r="G318" s="86">
        <v>1.2999999999999999E-2</v>
      </c>
    </row>
    <row r="319" spans="2:43">
      <c r="B319" s="56" t="s">
        <v>190</v>
      </c>
      <c r="C319" s="103">
        <v>0.94</v>
      </c>
      <c r="D319" s="103">
        <v>33.369999999999997</v>
      </c>
      <c r="E319" s="103">
        <v>0.02</v>
      </c>
      <c r="F319" s="86">
        <v>1.92</v>
      </c>
      <c r="G319" s="86">
        <v>1.2999999999999999E-2</v>
      </c>
    </row>
    <row r="320" spans="2:43">
      <c r="B320" s="1" t="s">
        <v>191</v>
      </c>
    </row>
    <row r="322" spans="2:43" ht="16.5" customHeight="1">
      <c r="B322" s="875" t="s">
        <v>202</v>
      </c>
      <c r="C322" s="876"/>
      <c r="D322" s="876"/>
      <c r="E322" s="876"/>
      <c r="F322"/>
      <c r="G322"/>
    </row>
    <row r="323" spans="2:43" ht="16.5" customHeight="1">
      <c r="B323" s="97" t="s">
        <v>116</v>
      </c>
      <c r="C323" s="105" t="s">
        <v>203</v>
      </c>
      <c r="D323" s="105" t="s">
        <v>204</v>
      </c>
      <c r="E323" s="105" t="s">
        <v>205</v>
      </c>
      <c r="F323" s="111"/>
      <c r="G323" s="111"/>
    </row>
    <row r="324" spans="2:43">
      <c r="B324" s="56" t="s">
        <v>142</v>
      </c>
      <c r="C324" s="113">
        <v>3180</v>
      </c>
      <c r="D324" s="114">
        <v>1.0900000000000001</v>
      </c>
      <c r="E324" s="103">
        <v>0.20599999999999999</v>
      </c>
      <c r="F324" s="110"/>
      <c r="G324" s="110"/>
    </row>
    <row r="325" spans="2:43">
      <c r="B325" s="102" t="s">
        <v>143</v>
      </c>
      <c r="C325" s="113">
        <v>3140</v>
      </c>
      <c r="D325" s="114">
        <v>0.23</v>
      </c>
      <c r="E325" s="103">
        <v>8.6999999999999994E-2</v>
      </c>
      <c r="F325" s="110"/>
      <c r="G325" s="110"/>
    </row>
    <row r="326" spans="2:43">
      <c r="B326" s="56" t="s">
        <v>187</v>
      </c>
      <c r="C326" s="113">
        <v>3140</v>
      </c>
      <c r="D326" s="114">
        <v>0.16</v>
      </c>
      <c r="E326" s="103">
        <v>5.6000000000000001E-2</v>
      </c>
      <c r="F326" s="110"/>
      <c r="G326" s="110"/>
    </row>
    <row r="327" spans="2:43">
      <c r="B327" s="102" t="s">
        <v>188</v>
      </c>
      <c r="C327" s="113">
        <v>3140</v>
      </c>
      <c r="D327" s="114">
        <v>0.27</v>
      </c>
      <c r="E327" s="103">
        <v>5.0999999999999997E-2</v>
      </c>
      <c r="F327" s="110"/>
      <c r="G327" s="110"/>
    </row>
    <row r="328" spans="2:43">
      <c r="B328" s="56" t="s">
        <v>189</v>
      </c>
      <c r="C328" s="113">
        <v>3140</v>
      </c>
      <c r="D328" s="114">
        <v>0.27</v>
      </c>
      <c r="E328" s="103">
        <v>5.0999999999999997E-2</v>
      </c>
      <c r="F328" s="110"/>
      <c r="G328" s="110"/>
    </row>
    <row r="329" spans="2:43">
      <c r="B329" s="56" t="s">
        <v>190</v>
      </c>
      <c r="C329" s="113">
        <v>3140</v>
      </c>
      <c r="D329" s="114">
        <v>0.27</v>
      </c>
      <c r="E329" s="103">
        <v>5.0999999999999997E-2</v>
      </c>
      <c r="F329" s="110"/>
      <c r="G329" s="110"/>
    </row>
    <row r="330" spans="2:43">
      <c r="B330" s="115" t="s">
        <v>206</v>
      </c>
      <c r="C330" s="109"/>
      <c r="D330" s="109"/>
      <c r="E330" s="109"/>
      <c r="F330" s="110"/>
      <c r="G330" s="110"/>
    </row>
    <row r="332" spans="2:43" ht="22.5">
      <c r="B332" s="196" t="s">
        <v>211</v>
      </c>
      <c r="C332" s="71">
        <v>2021</v>
      </c>
      <c r="D332" s="71">
        <v>2022</v>
      </c>
      <c r="E332" s="71">
        <v>2023</v>
      </c>
      <c r="F332" s="71">
        <v>2024</v>
      </c>
      <c r="G332" s="71">
        <v>2025</v>
      </c>
      <c r="H332" s="71">
        <v>2026</v>
      </c>
      <c r="I332" s="71">
        <v>2027</v>
      </c>
      <c r="J332" s="71">
        <v>2028</v>
      </c>
      <c r="K332" s="71">
        <v>2029</v>
      </c>
      <c r="L332" s="71">
        <v>2030</v>
      </c>
      <c r="M332" s="71">
        <v>2031</v>
      </c>
      <c r="N332" s="71">
        <v>2032</v>
      </c>
      <c r="O332" s="71">
        <v>2033</v>
      </c>
      <c r="P332" s="71">
        <v>2034</v>
      </c>
      <c r="Q332" s="71">
        <v>2035</v>
      </c>
      <c r="R332" s="71">
        <v>2036</v>
      </c>
      <c r="S332" s="71">
        <v>2037</v>
      </c>
      <c r="T332" s="71">
        <v>2038</v>
      </c>
      <c r="U332" s="71">
        <v>2039</v>
      </c>
      <c r="V332" s="71">
        <v>2040</v>
      </c>
      <c r="W332" s="71">
        <v>2041</v>
      </c>
      <c r="X332" s="71">
        <v>2042</v>
      </c>
      <c r="Y332" s="71">
        <v>2043</v>
      </c>
      <c r="Z332" s="71">
        <v>2044</v>
      </c>
      <c r="AA332" s="71">
        <v>2045</v>
      </c>
      <c r="AB332" s="71">
        <v>2046</v>
      </c>
      <c r="AC332" s="71">
        <v>2047</v>
      </c>
      <c r="AD332" s="71">
        <v>2048</v>
      </c>
      <c r="AE332" s="71">
        <v>2049</v>
      </c>
      <c r="AF332" s="71">
        <v>2050</v>
      </c>
      <c r="AG332" s="71">
        <v>2051</v>
      </c>
      <c r="AH332" s="71">
        <v>2052</v>
      </c>
      <c r="AI332" s="71">
        <v>2053</v>
      </c>
      <c r="AJ332" s="71">
        <v>2054</v>
      </c>
      <c r="AK332" s="71">
        <v>2055</v>
      </c>
      <c r="AL332" s="71">
        <v>2056</v>
      </c>
      <c r="AM332" s="71">
        <v>2057</v>
      </c>
      <c r="AN332" s="71">
        <v>2058</v>
      </c>
      <c r="AO332" s="71">
        <v>2059</v>
      </c>
      <c r="AP332" s="71">
        <v>2060</v>
      </c>
      <c r="AQ332" s="72"/>
    </row>
    <row r="333" spans="2:43">
      <c r="B333" s="55" t="s">
        <v>212</v>
      </c>
      <c r="C333" s="116">
        <f>(1.4*0.01)/$C$27</f>
        <v>1.826119794506503E-2</v>
      </c>
      <c r="D333" s="116">
        <f>ROUND(C333*(1+(0.7*D42)),5)</f>
        <v>1.848E-2</v>
      </c>
      <c r="E333" s="116">
        <f t="shared" ref="E333:AP333" si="97">ROUND(D333*(1+(0.7*E42)),5)</f>
        <v>1.864E-2</v>
      </c>
      <c r="F333" s="116">
        <f t="shared" si="97"/>
        <v>1.8870000000000001E-2</v>
      </c>
      <c r="G333" s="116">
        <f t="shared" si="97"/>
        <v>1.9220000000000001E-2</v>
      </c>
      <c r="H333" s="116">
        <f t="shared" si="97"/>
        <v>1.9480000000000001E-2</v>
      </c>
      <c r="I333" s="116">
        <f t="shared" si="97"/>
        <v>1.9709999999999998E-2</v>
      </c>
      <c r="J333" s="116">
        <f t="shared" si="97"/>
        <v>1.9939999999999999E-2</v>
      </c>
      <c r="K333" s="116">
        <f t="shared" si="97"/>
        <v>2.018E-2</v>
      </c>
      <c r="L333" s="116">
        <f t="shared" si="97"/>
        <v>2.0420000000000001E-2</v>
      </c>
      <c r="M333" s="116">
        <f t="shared" si="97"/>
        <v>2.0590000000000001E-2</v>
      </c>
      <c r="N333" s="116">
        <f t="shared" si="97"/>
        <v>2.0760000000000001E-2</v>
      </c>
      <c r="O333" s="116">
        <f t="shared" si="97"/>
        <v>2.0930000000000001E-2</v>
      </c>
      <c r="P333" s="116">
        <f t="shared" si="97"/>
        <v>2.111E-2</v>
      </c>
      <c r="Q333" s="116">
        <f t="shared" si="97"/>
        <v>2.129E-2</v>
      </c>
      <c r="R333" s="116">
        <f t="shared" si="97"/>
        <v>2.147E-2</v>
      </c>
      <c r="S333" s="116">
        <f t="shared" si="97"/>
        <v>2.1649999999999999E-2</v>
      </c>
      <c r="T333" s="116">
        <f t="shared" si="97"/>
        <v>2.1829999999999999E-2</v>
      </c>
      <c r="U333" s="116">
        <f t="shared" si="97"/>
        <v>2.2009999999999998E-2</v>
      </c>
      <c r="V333" s="116">
        <f t="shared" si="97"/>
        <v>2.2190000000000001E-2</v>
      </c>
      <c r="W333" s="116">
        <f t="shared" si="97"/>
        <v>2.2349999999999998E-2</v>
      </c>
      <c r="X333" s="116">
        <f t="shared" si="97"/>
        <v>2.2509999999999999E-2</v>
      </c>
      <c r="Y333" s="116">
        <f t="shared" si="97"/>
        <v>2.2669999999999999E-2</v>
      </c>
      <c r="Z333" s="116">
        <f t="shared" si="97"/>
        <v>2.283E-2</v>
      </c>
      <c r="AA333" s="116">
        <f t="shared" si="97"/>
        <v>2.299E-2</v>
      </c>
      <c r="AB333" s="116">
        <f t="shared" si="97"/>
        <v>2.315E-2</v>
      </c>
      <c r="AC333" s="116">
        <f t="shared" si="97"/>
        <v>2.3310000000000001E-2</v>
      </c>
      <c r="AD333" s="116">
        <f t="shared" si="97"/>
        <v>2.3470000000000001E-2</v>
      </c>
      <c r="AE333" s="116">
        <f t="shared" si="97"/>
        <v>2.3630000000000002E-2</v>
      </c>
      <c r="AF333" s="116">
        <f t="shared" si="97"/>
        <v>2.3800000000000002E-2</v>
      </c>
      <c r="AG333" s="116">
        <f t="shared" si="97"/>
        <v>2.402E-2</v>
      </c>
      <c r="AH333" s="116">
        <f t="shared" si="97"/>
        <v>2.4240000000000001E-2</v>
      </c>
      <c r="AI333" s="116">
        <f t="shared" si="97"/>
        <v>2.4459999999999999E-2</v>
      </c>
      <c r="AJ333" s="116">
        <f t="shared" si="97"/>
        <v>2.4680000000000001E-2</v>
      </c>
      <c r="AK333" s="116">
        <f t="shared" si="97"/>
        <v>2.4899999999999999E-2</v>
      </c>
      <c r="AL333" s="116">
        <f t="shared" si="97"/>
        <v>2.513E-2</v>
      </c>
      <c r="AM333" s="116">
        <f t="shared" si="97"/>
        <v>2.5360000000000001E-2</v>
      </c>
      <c r="AN333" s="116">
        <f t="shared" si="97"/>
        <v>2.5590000000000002E-2</v>
      </c>
      <c r="AO333" s="116">
        <f t="shared" si="97"/>
        <v>2.5819999999999999E-2</v>
      </c>
      <c r="AP333" s="116">
        <f t="shared" si="97"/>
        <v>2.605E-2</v>
      </c>
      <c r="AQ333" s="118">
        <f>SUM(C333:AP333)</f>
        <v>0.88799119794506531</v>
      </c>
    </row>
    <row r="334" spans="2:43">
      <c r="B334" s="55" t="s">
        <v>217</v>
      </c>
      <c r="C334" s="116">
        <f>(0.09*0.01)/$C$27</f>
        <v>1.1739341536113235E-3</v>
      </c>
      <c r="D334" s="116">
        <f>ROUND(C334*(1+(0.7*D42)),5)</f>
        <v>1.1900000000000001E-3</v>
      </c>
      <c r="E334" s="116">
        <f t="shared" ref="E334:AP334" si="98">ROUND(D334*(1+(0.7*E42)),5)</f>
        <v>1.1999999999999999E-3</v>
      </c>
      <c r="F334" s="116">
        <f t="shared" si="98"/>
        <v>1.2099999999999999E-3</v>
      </c>
      <c r="G334" s="116">
        <f t="shared" si="98"/>
        <v>1.23E-3</v>
      </c>
      <c r="H334" s="116">
        <f t="shared" si="98"/>
        <v>1.25E-3</v>
      </c>
      <c r="I334" s="116">
        <f t="shared" si="98"/>
        <v>1.2600000000000001E-3</v>
      </c>
      <c r="J334" s="116">
        <f t="shared" si="98"/>
        <v>1.2700000000000001E-3</v>
      </c>
      <c r="K334" s="116">
        <f t="shared" si="98"/>
        <v>1.2899999999999999E-3</v>
      </c>
      <c r="L334" s="116">
        <f t="shared" si="98"/>
        <v>1.31E-3</v>
      </c>
      <c r="M334" s="116">
        <f t="shared" si="98"/>
        <v>1.32E-3</v>
      </c>
      <c r="N334" s="116">
        <f t="shared" si="98"/>
        <v>1.33E-3</v>
      </c>
      <c r="O334" s="116">
        <f t="shared" si="98"/>
        <v>1.34E-3</v>
      </c>
      <c r="P334" s="116">
        <f t="shared" si="98"/>
        <v>1.3500000000000001E-3</v>
      </c>
      <c r="Q334" s="116">
        <f t="shared" si="98"/>
        <v>1.3600000000000001E-3</v>
      </c>
      <c r="R334" s="116">
        <f t="shared" si="98"/>
        <v>1.3699999999999999E-3</v>
      </c>
      <c r="S334" s="116">
        <f t="shared" si="98"/>
        <v>1.3799999999999999E-3</v>
      </c>
      <c r="T334" s="116">
        <f t="shared" si="98"/>
        <v>1.39E-3</v>
      </c>
      <c r="U334" s="116">
        <f t="shared" si="98"/>
        <v>1.4E-3</v>
      </c>
      <c r="V334" s="116">
        <f t="shared" si="98"/>
        <v>1.41E-3</v>
      </c>
      <c r="W334" s="116">
        <f t="shared" si="98"/>
        <v>1.42E-3</v>
      </c>
      <c r="X334" s="116">
        <f t="shared" si="98"/>
        <v>1.4300000000000001E-3</v>
      </c>
      <c r="Y334" s="116">
        <f t="shared" si="98"/>
        <v>1.4400000000000001E-3</v>
      </c>
      <c r="Z334" s="116">
        <f t="shared" si="98"/>
        <v>1.4499999999999999E-3</v>
      </c>
      <c r="AA334" s="116">
        <f t="shared" si="98"/>
        <v>1.4599999999999999E-3</v>
      </c>
      <c r="AB334" s="116">
        <f t="shared" si="98"/>
        <v>1.47E-3</v>
      </c>
      <c r="AC334" s="116">
        <f t="shared" si="98"/>
        <v>1.48E-3</v>
      </c>
      <c r="AD334" s="116">
        <f t="shared" si="98"/>
        <v>1.49E-3</v>
      </c>
      <c r="AE334" s="116">
        <f t="shared" si="98"/>
        <v>1.5E-3</v>
      </c>
      <c r="AF334" s="116">
        <f t="shared" si="98"/>
        <v>1.5100000000000001E-3</v>
      </c>
      <c r="AG334" s="116">
        <f t="shared" si="98"/>
        <v>1.5200000000000001E-3</v>
      </c>
      <c r="AH334" s="116">
        <f t="shared" si="98"/>
        <v>1.5299999999999999E-3</v>
      </c>
      <c r="AI334" s="116">
        <f t="shared" si="98"/>
        <v>1.5399999999999999E-3</v>
      </c>
      <c r="AJ334" s="116">
        <f t="shared" si="98"/>
        <v>1.5499999999999999E-3</v>
      </c>
      <c r="AK334" s="116">
        <f t="shared" si="98"/>
        <v>1.56E-3</v>
      </c>
      <c r="AL334" s="116">
        <f t="shared" si="98"/>
        <v>1.57E-3</v>
      </c>
      <c r="AM334" s="116">
        <f t="shared" si="98"/>
        <v>1.58E-3</v>
      </c>
      <c r="AN334" s="116">
        <f t="shared" si="98"/>
        <v>1.5900000000000001E-3</v>
      </c>
      <c r="AO334" s="116">
        <f t="shared" si="98"/>
        <v>1.6000000000000001E-3</v>
      </c>
      <c r="AP334" s="116">
        <f t="shared" si="98"/>
        <v>1.6100000000000001E-3</v>
      </c>
      <c r="AQ334" s="118">
        <f t="shared" ref="AQ334:AQ347" si="99">SUM(C334:AP334)</f>
        <v>5.633393415361132E-2</v>
      </c>
    </row>
    <row r="335" spans="2:43">
      <c r="B335" s="55" t="s">
        <v>222</v>
      </c>
      <c r="C335" s="116">
        <f>(0.01*0.01)/$C$27</f>
        <v>1.3043712817903595E-4</v>
      </c>
      <c r="D335" s="116">
        <f>ROUND(C335*(1+(0.7*D42)),5)</f>
        <v>1.2999999999999999E-4</v>
      </c>
      <c r="E335" s="116">
        <f t="shared" ref="E335:AP335" si="100">ROUND(D335*(1+(0.7*E42)),5)</f>
        <v>1.2999999999999999E-4</v>
      </c>
      <c r="F335" s="116">
        <f t="shared" si="100"/>
        <v>1.2999999999999999E-4</v>
      </c>
      <c r="G335" s="116">
        <f t="shared" si="100"/>
        <v>1.2999999999999999E-4</v>
      </c>
      <c r="H335" s="116">
        <f t="shared" si="100"/>
        <v>1.2999999999999999E-4</v>
      </c>
      <c r="I335" s="116">
        <f t="shared" si="100"/>
        <v>1.2999999999999999E-4</v>
      </c>
      <c r="J335" s="116">
        <f t="shared" si="100"/>
        <v>1.2999999999999999E-4</v>
      </c>
      <c r="K335" s="116">
        <f t="shared" si="100"/>
        <v>1.2999999999999999E-4</v>
      </c>
      <c r="L335" s="116">
        <f t="shared" si="100"/>
        <v>1.2999999999999999E-4</v>
      </c>
      <c r="M335" s="116">
        <f t="shared" si="100"/>
        <v>1.2999999999999999E-4</v>
      </c>
      <c r="N335" s="116">
        <f t="shared" si="100"/>
        <v>1.2999999999999999E-4</v>
      </c>
      <c r="O335" s="116">
        <f t="shared" si="100"/>
        <v>1.2999999999999999E-4</v>
      </c>
      <c r="P335" s="116">
        <f t="shared" si="100"/>
        <v>1.2999999999999999E-4</v>
      </c>
      <c r="Q335" s="116">
        <f t="shared" si="100"/>
        <v>1.2999999999999999E-4</v>
      </c>
      <c r="R335" s="116">
        <f t="shared" si="100"/>
        <v>1.2999999999999999E-4</v>
      </c>
      <c r="S335" s="116">
        <f t="shared" si="100"/>
        <v>1.2999999999999999E-4</v>
      </c>
      <c r="T335" s="116">
        <f t="shared" si="100"/>
        <v>1.2999999999999999E-4</v>
      </c>
      <c r="U335" s="116">
        <f t="shared" si="100"/>
        <v>1.2999999999999999E-4</v>
      </c>
      <c r="V335" s="116">
        <f t="shared" si="100"/>
        <v>1.2999999999999999E-4</v>
      </c>
      <c r="W335" s="116">
        <f t="shared" si="100"/>
        <v>1.2999999999999999E-4</v>
      </c>
      <c r="X335" s="116">
        <f t="shared" si="100"/>
        <v>1.2999999999999999E-4</v>
      </c>
      <c r="Y335" s="116">
        <f t="shared" si="100"/>
        <v>1.2999999999999999E-4</v>
      </c>
      <c r="Z335" s="116">
        <f t="shared" si="100"/>
        <v>1.2999999999999999E-4</v>
      </c>
      <c r="AA335" s="116">
        <f t="shared" si="100"/>
        <v>1.2999999999999999E-4</v>
      </c>
      <c r="AB335" s="116">
        <f t="shared" si="100"/>
        <v>1.2999999999999999E-4</v>
      </c>
      <c r="AC335" s="116">
        <f t="shared" si="100"/>
        <v>1.2999999999999999E-4</v>
      </c>
      <c r="AD335" s="116">
        <f t="shared" si="100"/>
        <v>1.2999999999999999E-4</v>
      </c>
      <c r="AE335" s="116">
        <f t="shared" si="100"/>
        <v>1.2999999999999999E-4</v>
      </c>
      <c r="AF335" s="116">
        <f t="shared" si="100"/>
        <v>1.2999999999999999E-4</v>
      </c>
      <c r="AG335" s="116">
        <f t="shared" si="100"/>
        <v>1.2999999999999999E-4</v>
      </c>
      <c r="AH335" s="116">
        <f t="shared" si="100"/>
        <v>1.2999999999999999E-4</v>
      </c>
      <c r="AI335" s="116">
        <f t="shared" si="100"/>
        <v>1.2999999999999999E-4</v>
      </c>
      <c r="AJ335" s="116">
        <f t="shared" si="100"/>
        <v>1.2999999999999999E-4</v>
      </c>
      <c r="AK335" s="116">
        <f t="shared" si="100"/>
        <v>1.2999999999999999E-4</v>
      </c>
      <c r="AL335" s="116">
        <f t="shared" si="100"/>
        <v>1.2999999999999999E-4</v>
      </c>
      <c r="AM335" s="116">
        <f t="shared" si="100"/>
        <v>1.2999999999999999E-4</v>
      </c>
      <c r="AN335" s="116">
        <f t="shared" si="100"/>
        <v>1.2999999999999999E-4</v>
      </c>
      <c r="AO335" s="116">
        <f t="shared" si="100"/>
        <v>1.2999999999999999E-4</v>
      </c>
      <c r="AP335" s="116">
        <f t="shared" si="100"/>
        <v>1.2999999999999999E-4</v>
      </c>
      <c r="AQ335" s="118">
        <f t="shared" si="99"/>
        <v>5.200437128179033E-3</v>
      </c>
    </row>
    <row r="336" spans="2:43">
      <c r="B336" s="55" t="s">
        <v>213</v>
      </c>
      <c r="C336" s="116">
        <f>(2.95*0.01)/$C$27</f>
        <v>3.8478952812815603E-2</v>
      </c>
      <c r="D336" s="116">
        <f>ROUND(C336*(1+(0.7*D42)),5)</f>
        <v>3.8940000000000002E-2</v>
      </c>
      <c r="E336" s="116">
        <f t="shared" ref="E336:AP336" si="101">ROUND(D336*(1+(0.7*E42)),5)</f>
        <v>3.9280000000000002E-2</v>
      </c>
      <c r="F336" s="116">
        <f t="shared" si="101"/>
        <v>3.9759999999999997E-2</v>
      </c>
      <c r="G336" s="116">
        <f t="shared" si="101"/>
        <v>4.0500000000000001E-2</v>
      </c>
      <c r="H336" s="116">
        <f t="shared" si="101"/>
        <v>4.104E-2</v>
      </c>
      <c r="I336" s="116">
        <f t="shared" si="101"/>
        <v>4.1529999999999997E-2</v>
      </c>
      <c r="J336" s="116">
        <f t="shared" si="101"/>
        <v>4.2020000000000002E-2</v>
      </c>
      <c r="K336" s="116">
        <f t="shared" si="101"/>
        <v>4.2520000000000002E-2</v>
      </c>
      <c r="L336" s="116">
        <f t="shared" si="101"/>
        <v>4.3029999999999999E-2</v>
      </c>
      <c r="M336" s="116">
        <f t="shared" si="101"/>
        <v>4.3389999999999998E-2</v>
      </c>
      <c r="N336" s="116">
        <f t="shared" si="101"/>
        <v>4.3749999999999997E-2</v>
      </c>
      <c r="O336" s="116">
        <f t="shared" si="101"/>
        <v>4.4119999999999999E-2</v>
      </c>
      <c r="P336" s="116">
        <f t="shared" si="101"/>
        <v>4.4490000000000002E-2</v>
      </c>
      <c r="Q336" s="116">
        <f t="shared" si="101"/>
        <v>4.4859999999999997E-2</v>
      </c>
      <c r="R336" s="116">
        <f t="shared" si="101"/>
        <v>4.5240000000000002E-2</v>
      </c>
      <c r="S336" s="116">
        <f t="shared" si="101"/>
        <v>4.5620000000000001E-2</v>
      </c>
      <c r="T336" s="116">
        <f t="shared" si="101"/>
        <v>4.5999999999999999E-2</v>
      </c>
      <c r="U336" s="116">
        <f t="shared" si="101"/>
        <v>4.6390000000000001E-2</v>
      </c>
      <c r="V336" s="116">
        <f t="shared" si="101"/>
        <v>4.6780000000000002E-2</v>
      </c>
      <c r="W336" s="116">
        <f t="shared" si="101"/>
        <v>4.7109999999999999E-2</v>
      </c>
      <c r="X336" s="116">
        <f t="shared" si="101"/>
        <v>4.7440000000000003E-2</v>
      </c>
      <c r="Y336" s="116">
        <f t="shared" si="101"/>
        <v>4.777E-2</v>
      </c>
      <c r="Z336" s="116">
        <f t="shared" si="101"/>
        <v>4.8099999999999997E-2</v>
      </c>
      <c r="AA336" s="116">
        <f t="shared" si="101"/>
        <v>4.8439999999999997E-2</v>
      </c>
      <c r="AB336" s="116">
        <f t="shared" si="101"/>
        <v>4.8779999999999997E-2</v>
      </c>
      <c r="AC336" s="116">
        <f t="shared" si="101"/>
        <v>4.9119999999999997E-2</v>
      </c>
      <c r="AD336" s="116">
        <f t="shared" si="101"/>
        <v>4.9459999999999997E-2</v>
      </c>
      <c r="AE336" s="116">
        <f t="shared" si="101"/>
        <v>4.981E-2</v>
      </c>
      <c r="AF336" s="116">
        <f t="shared" si="101"/>
        <v>5.0160000000000003E-2</v>
      </c>
      <c r="AG336" s="116">
        <f t="shared" si="101"/>
        <v>5.0619999999999998E-2</v>
      </c>
      <c r="AH336" s="116">
        <f t="shared" si="101"/>
        <v>5.108E-2</v>
      </c>
      <c r="AI336" s="116">
        <f t="shared" si="101"/>
        <v>5.1540000000000002E-2</v>
      </c>
      <c r="AJ336" s="116">
        <f t="shared" si="101"/>
        <v>5.2010000000000001E-2</v>
      </c>
      <c r="AK336" s="116">
        <f t="shared" si="101"/>
        <v>5.2479999999999999E-2</v>
      </c>
      <c r="AL336" s="116">
        <f t="shared" si="101"/>
        <v>5.296E-2</v>
      </c>
      <c r="AM336" s="116">
        <f t="shared" si="101"/>
        <v>5.3440000000000001E-2</v>
      </c>
      <c r="AN336" s="116">
        <f t="shared" si="101"/>
        <v>5.3929999999999999E-2</v>
      </c>
      <c r="AO336" s="116">
        <f t="shared" si="101"/>
        <v>5.4420000000000003E-2</v>
      </c>
      <c r="AP336" s="116">
        <f t="shared" si="101"/>
        <v>5.4919999999999997E-2</v>
      </c>
      <c r="AQ336" s="118">
        <f t="shared" si="99"/>
        <v>1.8713289528128161</v>
      </c>
    </row>
    <row r="337" spans="2:43">
      <c r="B337" s="55" t="s">
        <v>218</v>
      </c>
      <c r="C337" s="116">
        <f>(0.18*0.01)/$C$27</f>
        <v>2.347868307222647E-3</v>
      </c>
      <c r="D337" s="116">
        <f>ROUND(C337*(1+(0.7*D42)),5)</f>
        <v>2.3800000000000002E-3</v>
      </c>
      <c r="E337" s="116">
        <f t="shared" ref="E337:AP337" si="102">ROUND(D337*(1+(0.7*E42)),5)</f>
        <v>2.3999999999999998E-3</v>
      </c>
      <c r="F337" s="116">
        <f t="shared" si="102"/>
        <v>2.4299999999999999E-3</v>
      </c>
      <c r="G337" s="116">
        <f t="shared" si="102"/>
        <v>2.48E-3</v>
      </c>
      <c r="H337" s="116">
        <f t="shared" si="102"/>
        <v>2.5100000000000001E-3</v>
      </c>
      <c r="I337" s="116">
        <f t="shared" si="102"/>
        <v>2.5400000000000002E-3</v>
      </c>
      <c r="J337" s="116">
        <f t="shared" si="102"/>
        <v>2.5699999999999998E-3</v>
      </c>
      <c r="K337" s="116">
        <f t="shared" si="102"/>
        <v>2.5999999999999999E-3</v>
      </c>
      <c r="L337" s="116">
        <f t="shared" si="102"/>
        <v>2.63E-3</v>
      </c>
      <c r="M337" s="116">
        <f t="shared" si="102"/>
        <v>2.65E-3</v>
      </c>
      <c r="N337" s="116">
        <f t="shared" si="102"/>
        <v>2.6700000000000001E-3</v>
      </c>
      <c r="O337" s="116">
        <f t="shared" si="102"/>
        <v>2.6900000000000001E-3</v>
      </c>
      <c r="P337" s="116">
        <f t="shared" si="102"/>
        <v>2.7100000000000002E-3</v>
      </c>
      <c r="Q337" s="116">
        <f t="shared" si="102"/>
        <v>2.7299999999999998E-3</v>
      </c>
      <c r="R337" s="116">
        <f t="shared" si="102"/>
        <v>2.7499999999999998E-3</v>
      </c>
      <c r="S337" s="116">
        <f t="shared" si="102"/>
        <v>2.7699999999999999E-3</v>
      </c>
      <c r="T337" s="116">
        <f t="shared" si="102"/>
        <v>2.7899999999999999E-3</v>
      </c>
      <c r="U337" s="116">
        <f t="shared" si="102"/>
        <v>2.81E-3</v>
      </c>
      <c r="V337" s="116">
        <f t="shared" si="102"/>
        <v>2.8300000000000001E-3</v>
      </c>
      <c r="W337" s="116">
        <f t="shared" si="102"/>
        <v>2.8500000000000001E-3</v>
      </c>
      <c r="X337" s="116">
        <f t="shared" si="102"/>
        <v>2.8700000000000002E-3</v>
      </c>
      <c r="Y337" s="116">
        <f t="shared" si="102"/>
        <v>2.8900000000000002E-3</v>
      </c>
      <c r="Z337" s="116">
        <f t="shared" si="102"/>
        <v>2.9099999999999998E-3</v>
      </c>
      <c r="AA337" s="116">
        <f t="shared" si="102"/>
        <v>2.9299999999999999E-3</v>
      </c>
      <c r="AB337" s="116">
        <f t="shared" si="102"/>
        <v>2.9499999999999999E-3</v>
      </c>
      <c r="AC337" s="116">
        <f t="shared" si="102"/>
        <v>2.97E-3</v>
      </c>
      <c r="AD337" s="116">
        <f t="shared" si="102"/>
        <v>2.99E-3</v>
      </c>
      <c r="AE337" s="116">
        <f t="shared" si="102"/>
        <v>3.0100000000000001E-3</v>
      </c>
      <c r="AF337" s="116">
        <f t="shared" si="102"/>
        <v>3.0300000000000001E-3</v>
      </c>
      <c r="AG337" s="116">
        <f t="shared" si="102"/>
        <v>3.0599999999999998E-3</v>
      </c>
      <c r="AH337" s="116">
        <f t="shared" si="102"/>
        <v>3.0899999999999999E-3</v>
      </c>
      <c r="AI337" s="116">
        <f t="shared" si="102"/>
        <v>3.1199999999999999E-3</v>
      </c>
      <c r="AJ337" s="116">
        <f t="shared" si="102"/>
        <v>3.15E-3</v>
      </c>
      <c r="AK337" s="116">
        <f t="shared" si="102"/>
        <v>3.1800000000000001E-3</v>
      </c>
      <c r="AL337" s="116">
        <f t="shared" si="102"/>
        <v>3.2100000000000002E-3</v>
      </c>
      <c r="AM337" s="116">
        <f t="shared" si="102"/>
        <v>3.2399999999999998E-3</v>
      </c>
      <c r="AN337" s="116">
        <f t="shared" si="102"/>
        <v>3.2699999999999999E-3</v>
      </c>
      <c r="AO337" s="116">
        <f t="shared" si="102"/>
        <v>3.3E-3</v>
      </c>
      <c r="AP337" s="116">
        <f t="shared" si="102"/>
        <v>3.3300000000000001E-3</v>
      </c>
      <c r="AQ337" s="118">
        <f t="shared" si="99"/>
        <v>0.11363786830722261</v>
      </c>
    </row>
    <row r="338" spans="2:43">
      <c r="B338" s="55" t="s">
        <v>223</v>
      </c>
      <c r="C338" s="116">
        <f>(0.02*0.01)/$C$27</f>
        <v>2.6087425635807189E-4</v>
      </c>
      <c r="D338" s="116">
        <f>ROUND(C338*(1+(0.7*D42)),5)</f>
        <v>2.5999999999999998E-4</v>
      </c>
      <c r="E338" s="116">
        <f t="shared" ref="E338:AP338" si="103">ROUND(D338*(1+(0.7*E42)),5)</f>
        <v>2.5999999999999998E-4</v>
      </c>
      <c r="F338" s="116">
        <f t="shared" si="103"/>
        <v>2.5999999999999998E-4</v>
      </c>
      <c r="G338" s="116">
        <f t="shared" si="103"/>
        <v>2.5999999999999998E-4</v>
      </c>
      <c r="H338" s="116">
        <f t="shared" si="103"/>
        <v>2.5999999999999998E-4</v>
      </c>
      <c r="I338" s="116">
        <f t="shared" si="103"/>
        <v>2.5999999999999998E-4</v>
      </c>
      <c r="J338" s="116">
        <f t="shared" si="103"/>
        <v>2.5999999999999998E-4</v>
      </c>
      <c r="K338" s="116">
        <f t="shared" si="103"/>
        <v>2.5999999999999998E-4</v>
      </c>
      <c r="L338" s="116">
        <f t="shared" si="103"/>
        <v>2.5999999999999998E-4</v>
      </c>
      <c r="M338" s="116">
        <f t="shared" si="103"/>
        <v>2.5999999999999998E-4</v>
      </c>
      <c r="N338" s="116">
        <f t="shared" si="103"/>
        <v>2.5999999999999998E-4</v>
      </c>
      <c r="O338" s="116">
        <f t="shared" si="103"/>
        <v>2.5999999999999998E-4</v>
      </c>
      <c r="P338" s="116">
        <f t="shared" si="103"/>
        <v>2.5999999999999998E-4</v>
      </c>
      <c r="Q338" s="116">
        <f t="shared" si="103"/>
        <v>2.5999999999999998E-4</v>
      </c>
      <c r="R338" s="116">
        <f t="shared" si="103"/>
        <v>2.5999999999999998E-4</v>
      </c>
      <c r="S338" s="116">
        <f t="shared" si="103"/>
        <v>2.5999999999999998E-4</v>
      </c>
      <c r="T338" s="116">
        <f t="shared" si="103"/>
        <v>2.5999999999999998E-4</v>
      </c>
      <c r="U338" s="116">
        <f t="shared" si="103"/>
        <v>2.5999999999999998E-4</v>
      </c>
      <c r="V338" s="116">
        <f t="shared" si="103"/>
        <v>2.5999999999999998E-4</v>
      </c>
      <c r="W338" s="116">
        <f t="shared" si="103"/>
        <v>2.5999999999999998E-4</v>
      </c>
      <c r="X338" s="116">
        <f t="shared" si="103"/>
        <v>2.5999999999999998E-4</v>
      </c>
      <c r="Y338" s="116">
        <f t="shared" si="103"/>
        <v>2.5999999999999998E-4</v>
      </c>
      <c r="Z338" s="116">
        <f t="shared" si="103"/>
        <v>2.5999999999999998E-4</v>
      </c>
      <c r="AA338" s="116">
        <f t="shared" si="103"/>
        <v>2.5999999999999998E-4</v>
      </c>
      <c r="AB338" s="116">
        <f t="shared" si="103"/>
        <v>2.5999999999999998E-4</v>
      </c>
      <c r="AC338" s="116">
        <f t="shared" si="103"/>
        <v>2.5999999999999998E-4</v>
      </c>
      <c r="AD338" s="116">
        <f t="shared" si="103"/>
        <v>2.5999999999999998E-4</v>
      </c>
      <c r="AE338" s="116">
        <f t="shared" si="103"/>
        <v>2.5999999999999998E-4</v>
      </c>
      <c r="AF338" s="116">
        <f t="shared" si="103"/>
        <v>2.5999999999999998E-4</v>
      </c>
      <c r="AG338" s="116">
        <f t="shared" si="103"/>
        <v>2.5999999999999998E-4</v>
      </c>
      <c r="AH338" s="116">
        <f t="shared" si="103"/>
        <v>2.5999999999999998E-4</v>
      </c>
      <c r="AI338" s="116">
        <f t="shared" si="103"/>
        <v>2.5999999999999998E-4</v>
      </c>
      <c r="AJ338" s="116">
        <f t="shared" si="103"/>
        <v>2.5999999999999998E-4</v>
      </c>
      <c r="AK338" s="116">
        <f t="shared" si="103"/>
        <v>2.5999999999999998E-4</v>
      </c>
      <c r="AL338" s="116">
        <f t="shared" si="103"/>
        <v>2.5999999999999998E-4</v>
      </c>
      <c r="AM338" s="116">
        <f t="shared" si="103"/>
        <v>2.5999999999999998E-4</v>
      </c>
      <c r="AN338" s="116">
        <f t="shared" si="103"/>
        <v>2.5999999999999998E-4</v>
      </c>
      <c r="AO338" s="116">
        <f t="shared" si="103"/>
        <v>2.5999999999999998E-4</v>
      </c>
      <c r="AP338" s="116">
        <f t="shared" si="103"/>
        <v>2.5999999999999998E-4</v>
      </c>
      <c r="AQ338" s="118">
        <f t="shared" si="99"/>
        <v>1.0400874256358066E-2</v>
      </c>
    </row>
    <row r="339" spans="2:43">
      <c r="B339" s="55" t="s">
        <v>214</v>
      </c>
      <c r="C339" s="116">
        <f>(11.75*0.01)/$C$27</f>
        <v>0.15326362561036724</v>
      </c>
      <c r="D339" s="116">
        <f>ROUND(C339*(1+(0.7*D42)),5)</f>
        <v>0.15511</v>
      </c>
      <c r="E339" s="116">
        <f t="shared" ref="E339:AP339" si="104">ROUND(D339*(1+(0.7*E42)),5)</f>
        <v>0.15648000000000001</v>
      </c>
      <c r="F339" s="116">
        <f t="shared" si="104"/>
        <v>0.15840000000000001</v>
      </c>
      <c r="G339" s="116">
        <f t="shared" si="104"/>
        <v>0.16134000000000001</v>
      </c>
      <c r="H339" s="116">
        <f t="shared" si="104"/>
        <v>0.16349</v>
      </c>
      <c r="I339" s="116">
        <f t="shared" si="104"/>
        <v>0.16544</v>
      </c>
      <c r="J339" s="116">
        <f t="shared" si="104"/>
        <v>0.16741</v>
      </c>
      <c r="K339" s="116">
        <f t="shared" si="104"/>
        <v>0.1694</v>
      </c>
      <c r="L339" s="116">
        <f t="shared" si="104"/>
        <v>0.17141999999999999</v>
      </c>
      <c r="M339" s="116">
        <f t="shared" si="104"/>
        <v>0.17286000000000001</v>
      </c>
      <c r="N339" s="116">
        <f t="shared" si="104"/>
        <v>0.17430999999999999</v>
      </c>
      <c r="O339" s="116">
        <f t="shared" si="104"/>
        <v>0.17577000000000001</v>
      </c>
      <c r="P339" s="116">
        <f t="shared" si="104"/>
        <v>0.17724999999999999</v>
      </c>
      <c r="Q339" s="116">
        <f t="shared" si="104"/>
        <v>0.17874000000000001</v>
      </c>
      <c r="R339" s="116">
        <f t="shared" si="104"/>
        <v>0.18024000000000001</v>
      </c>
      <c r="S339" s="116">
        <f t="shared" si="104"/>
        <v>0.18174999999999999</v>
      </c>
      <c r="T339" s="116">
        <f t="shared" si="104"/>
        <v>0.18328</v>
      </c>
      <c r="U339" s="116">
        <f t="shared" si="104"/>
        <v>0.18482000000000001</v>
      </c>
      <c r="V339" s="116">
        <f t="shared" si="104"/>
        <v>0.18637000000000001</v>
      </c>
      <c r="W339" s="116">
        <f t="shared" si="104"/>
        <v>0.18767</v>
      </c>
      <c r="X339" s="116">
        <f t="shared" si="104"/>
        <v>0.18898000000000001</v>
      </c>
      <c r="Y339" s="116">
        <f t="shared" si="104"/>
        <v>0.1903</v>
      </c>
      <c r="Z339" s="116">
        <f t="shared" si="104"/>
        <v>0.19162999999999999</v>
      </c>
      <c r="AA339" s="116">
        <f t="shared" si="104"/>
        <v>0.19297</v>
      </c>
      <c r="AB339" s="116">
        <f t="shared" si="104"/>
        <v>0.19431999999999999</v>
      </c>
      <c r="AC339" s="116">
        <f t="shared" si="104"/>
        <v>0.19567999999999999</v>
      </c>
      <c r="AD339" s="116">
        <f t="shared" si="104"/>
        <v>0.19705</v>
      </c>
      <c r="AE339" s="116">
        <f t="shared" si="104"/>
        <v>0.19843</v>
      </c>
      <c r="AF339" s="116">
        <f t="shared" si="104"/>
        <v>0.19982</v>
      </c>
      <c r="AG339" s="116">
        <f t="shared" si="104"/>
        <v>0.20164000000000001</v>
      </c>
      <c r="AH339" s="116">
        <f t="shared" si="104"/>
        <v>0.20347000000000001</v>
      </c>
      <c r="AI339" s="116">
        <f t="shared" si="104"/>
        <v>0.20532</v>
      </c>
      <c r="AJ339" s="116">
        <f t="shared" si="104"/>
        <v>0.20719000000000001</v>
      </c>
      <c r="AK339" s="116">
        <f t="shared" si="104"/>
        <v>0.20907999999999999</v>
      </c>
      <c r="AL339" s="116">
        <f t="shared" si="104"/>
        <v>0.21098</v>
      </c>
      <c r="AM339" s="116">
        <f t="shared" si="104"/>
        <v>0.21290000000000001</v>
      </c>
      <c r="AN339" s="116">
        <f t="shared" si="104"/>
        <v>0.21484</v>
      </c>
      <c r="AO339" s="116">
        <f t="shared" si="104"/>
        <v>0.21679999999999999</v>
      </c>
      <c r="AP339" s="116">
        <f t="shared" si="104"/>
        <v>0.21876999999999999</v>
      </c>
      <c r="AQ339" s="118">
        <f t="shared" si="99"/>
        <v>7.4549836256103692</v>
      </c>
    </row>
    <row r="340" spans="2:43">
      <c r="B340" s="55" t="s">
        <v>219</v>
      </c>
      <c r="C340" s="116">
        <f>(0.73*0.01)/$C$27</f>
        <v>9.5219103570696236E-3</v>
      </c>
      <c r="D340" s="116">
        <f>ROUND(C340*(1+(0.7*D42)),5)</f>
        <v>9.6399999999999993E-3</v>
      </c>
      <c r="E340" s="116">
        <f t="shared" ref="E340:AP340" si="105">ROUND(D340*(1+(0.7*E42)),5)</f>
        <v>9.7300000000000008E-3</v>
      </c>
      <c r="F340" s="116">
        <f t="shared" si="105"/>
        <v>9.8499999999999994E-3</v>
      </c>
      <c r="G340" s="116">
        <f t="shared" si="105"/>
        <v>1.0030000000000001E-2</v>
      </c>
      <c r="H340" s="116">
        <f t="shared" si="105"/>
        <v>1.0160000000000001E-2</v>
      </c>
      <c r="I340" s="116">
        <f t="shared" si="105"/>
        <v>1.0279999999999999E-2</v>
      </c>
      <c r="J340" s="116">
        <f t="shared" si="105"/>
        <v>1.04E-2</v>
      </c>
      <c r="K340" s="116">
        <f t="shared" si="105"/>
        <v>1.052E-2</v>
      </c>
      <c r="L340" s="116">
        <f t="shared" si="105"/>
        <v>1.065E-2</v>
      </c>
      <c r="M340" s="116">
        <f t="shared" si="105"/>
        <v>1.074E-2</v>
      </c>
      <c r="N340" s="116">
        <f t="shared" si="105"/>
        <v>1.0829999999999999E-2</v>
      </c>
      <c r="O340" s="116">
        <f t="shared" si="105"/>
        <v>1.0919999999999999E-2</v>
      </c>
      <c r="P340" s="116">
        <f t="shared" si="105"/>
        <v>1.1010000000000001E-2</v>
      </c>
      <c r="Q340" s="116">
        <f t="shared" si="105"/>
        <v>1.11E-2</v>
      </c>
      <c r="R340" s="116">
        <f t="shared" si="105"/>
        <v>1.119E-2</v>
      </c>
      <c r="S340" s="116">
        <f t="shared" si="105"/>
        <v>1.128E-2</v>
      </c>
      <c r="T340" s="116">
        <f t="shared" si="105"/>
        <v>1.137E-2</v>
      </c>
      <c r="U340" s="116">
        <f t="shared" si="105"/>
        <v>1.1469999999999999E-2</v>
      </c>
      <c r="V340" s="116">
        <f t="shared" si="105"/>
        <v>1.157E-2</v>
      </c>
      <c r="W340" s="116">
        <f t="shared" si="105"/>
        <v>1.1650000000000001E-2</v>
      </c>
      <c r="X340" s="116">
        <f t="shared" si="105"/>
        <v>1.1730000000000001E-2</v>
      </c>
      <c r="Y340" s="116">
        <f t="shared" si="105"/>
        <v>1.1809999999999999E-2</v>
      </c>
      <c r="Z340" s="116">
        <f t="shared" si="105"/>
        <v>1.189E-2</v>
      </c>
      <c r="AA340" s="116">
        <f t="shared" si="105"/>
        <v>1.197E-2</v>
      </c>
      <c r="AB340" s="116">
        <f t="shared" si="105"/>
        <v>1.205E-2</v>
      </c>
      <c r="AC340" s="116">
        <f t="shared" si="105"/>
        <v>1.213E-2</v>
      </c>
      <c r="AD340" s="116">
        <f t="shared" si="105"/>
        <v>1.221E-2</v>
      </c>
      <c r="AE340" s="116">
        <f t="shared" si="105"/>
        <v>1.23E-2</v>
      </c>
      <c r="AF340" s="116">
        <f t="shared" si="105"/>
        <v>1.239E-2</v>
      </c>
      <c r="AG340" s="116">
        <f t="shared" si="105"/>
        <v>1.2500000000000001E-2</v>
      </c>
      <c r="AH340" s="116">
        <f t="shared" si="105"/>
        <v>1.261E-2</v>
      </c>
      <c r="AI340" s="116">
        <f t="shared" si="105"/>
        <v>1.272E-2</v>
      </c>
      <c r="AJ340" s="116">
        <f t="shared" si="105"/>
        <v>1.2840000000000001E-2</v>
      </c>
      <c r="AK340" s="116">
        <f t="shared" si="105"/>
        <v>1.2959999999999999E-2</v>
      </c>
      <c r="AL340" s="116">
        <f t="shared" si="105"/>
        <v>1.308E-2</v>
      </c>
      <c r="AM340" s="116">
        <f t="shared" si="105"/>
        <v>1.32E-2</v>
      </c>
      <c r="AN340" s="116">
        <f t="shared" si="105"/>
        <v>1.332E-2</v>
      </c>
      <c r="AO340" s="116">
        <f t="shared" si="105"/>
        <v>1.3440000000000001E-2</v>
      </c>
      <c r="AP340" s="116">
        <f t="shared" si="105"/>
        <v>1.3559999999999999E-2</v>
      </c>
      <c r="AQ340" s="118">
        <f t="shared" si="99"/>
        <v>0.46262191035706957</v>
      </c>
    </row>
    <row r="341" spans="2:43">
      <c r="B341" s="55" t="s">
        <v>224</v>
      </c>
      <c r="C341" s="116">
        <f>(0.09*0.01)/$C$27</f>
        <v>1.1739341536113235E-3</v>
      </c>
      <c r="D341" s="116">
        <f>ROUND(C341*(1+(0.7*D42)),5)</f>
        <v>1.1900000000000001E-3</v>
      </c>
      <c r="E341" s="116">
        <f t="shared" ref="E341:AP341" si="106">ROUND(D341*(1+(0.7*E42)),5)</f>
        <v>1.1999999999999999E-3</v>
      </c>
      <c r="F341" s="116">
        <f t="shared" si="106"/>
        <v>1.2099999999999999E-3</v>
      </c>
      <c r="G341" s="116">
        <f t="shared" si="106"/>
        <v>1.23E-3</v>
      </c>
      <c r="H341" s="116">
        <f t="shared" si="106"/>
        <v>1.25E-3</v>
      </c>
      <c r="I341" s="116">
        <f t="shared" si="106"/>
        <v>1.2600000000000001E-3</v>
      </c>
      <c r="J341" s="116">
        <f t="shared" si="106"/>
        <v>1.2700000000000001E-3</v>
      </c>
      <c r="K341" s="116">
        <f t="shared" si="106"/>
        <v>1.2899999999999999E-3</v>
      </c>
      <c r="L341" s="116">
        <f t="shared" si="106"/>
        <v>1.31E-3</v>
      </c>
      <c r="M341" s="116">
        <f t="shared" si="106"/>
        <v>1.32E-3</v>
      </c>
      <c r="N341" s="116">
        <f t="shared" si="106"/>
        <v>1.33E-3</v>
      </c>
      <c r="O341" s="116">
        <f t="shared" si="106"/>
        <v>1.34E-3</v>
      </c>
      <c r="P341" s="116">
        <f t="shared" si="106"/>
        <v>1.3500000000000001E-3</v>
      </c>
      <c r="Q341" s="116">
        <f t="shared" si="106"/>
        <v>1.3600000000000001E-3</v>
      </c>
      <c r="R341" s="116">
        <f t="shared" si="106"/>
        <v>1.3699999999999999E-3</v>
      </c>
      <c r="S341" s="116">
        <f t="shared" si="106"/>
        <v>1.3799999999999999E-3</v>
      </c>
      <c r="T341" s="116">
        <f t="shared" si="106"/>
        <v>1.39E-3</v>
      </c>
      <c r="U341" s="116">
        <f t="shared" si="106"/>
        <v>1.4E-3</v>
      </c>
      <c r="V341" s="116">
        <f t="shared" si="106"/>
        <v>1.41E-3</v>
      </c>
      <c r="W341" s="116">
        <f t="shared" si="106"/>
        <v>1.42E-3</v>
      </c>
      <c r="X341" s="116">
        <f t="shared" si="106"/>
        <v>1.4300000000000001E-3</v>
      </c>
      <c r="Y341" s="116">
        <f t="shared" si="106"/>
        <v>1.4400000000000001E-3</v>
      </c>
      <c r="Z341" s="116">
        <f t="shared" si="106"/>
        <v>1.4499999999999999E-3</v>
      </c>
      <c r="AA341" s="116">
        <f t="shared" si="106"/>
        <v>1.4599999999999999E-3</v>
      </c>
      <c r="AB341" s="116">
        <f t="shared" si="106"/>
        <v>1.47E-3</v>
      </c>
      <c r="AC341" s="116">
        <f t="shared" si="106"/>
        <v>1.48E-3</v>
      </c>
      <c r="AD341" s="116">
        <f t="shared" si="106"/>
        <v>1.49E-3</v>
      </c>
      <c r="AE341" s="116">
        <f t="shared" si="106"/>
        <v>1.5E-3</v>
      </c>
      <c r="AF341" s="116">
        <f t="shared" si="106"/>
        <v>1.5100000000000001E-3</v>
      </c>
      <c r="AG341" s="116">
        <f t="shared" si="106"/>
        <v>1.5200000000000001E-3</v>
      </c>
      <c r="AH341" s="116">
        <f t="shared" si="106"/>
        <v>1.5299999999999999E-3</v>
      </c>
      <c r="AI341" s="116">
        <f t="shared" si="106"/>
        <v>1.5399999999999999E-3</v>
      </c>
      <c r="AJ341" s="116">
        <f t="shared" si="106"/>
        <v>1.5499999999999999E-3</v>
      </c>
      <c r="AK341" s="116">
        <f t="shared" si="106"/>
        <v>1.56E-3</v>
      </c>
      <c r="AL341" s="116">
        <f t="shared" si="106"/>
        <v>1.57E-3</v>
      </c>
      <c r="AM341" s="116">
        <f t="shared" si="106"/>
        <v>1.58E-3</v>
      </c>
      <c r="AN341" s="116">
        <f t="shared" si="106"/>
        <v>1.5900000000000001E-3</v>
      </c>
      <c r="AO341" s="116">
        <f t="shared" si="106"/>
        <v>1.6000000000000001E-3</v>
      </c>
      <c r="AP341" s="116">
        <f t="shared" si="106"/>
        <v>1.6100000000000001E-3</v>
      </c>
      <c r="AQ341" s="118">
        <f t="shared" si="99"/>
        <v>5.633393415361132E-2</v>
      </c>
    </row>
    <row r="342" spans="2:43">
      <c r="B342" s="55" t="s">
        <v>215</v>
      </c>
      <c r="C342" s="116">
        <f>(16.46*0.01)/$C$27</f>
        <v>0.21469951298269319</v>
      </c>
      <c r="D342" s="116">
        <f>ROUND(C342*(1+(0.7*D42)),5)</f>
        <v>0.21729000000000001</v>
      </c>
      <c r="E342" s="116">
        <f t="shared" ref="E342:AP342" si="107">ROUND(D342*(1+(0.7*E42)),5)</f>
        <v>0.21920999999999999</v>
      </c>
      <c r="F342" s="116">
        <f t="shared" si="107"/>
        <v>0.22191</v>
      </c>
      <c r="G342" s="116">
        <f t="shared" si="107"/>
        <v>0.22603000000000001</v>
      </c>
      <c r="H342" s="116">
        <f t="shared" si="107"/>
        <v>0.22905</v>
      </c>
      <c r="I342" s="116">
        <f t="shared" si="107"/>
        <v>0.23178000000000001</v>
      </c>
      <c r="J342" s="116">
        <f t="shared" si="107"/>
        <v>0.23454</v>
      </c>
      <c r="K342" s="116">
        <f t="shared" si="107"/>
        <v>0.23733000000000001</v>
      </c>
      <c r="L342" s="116">
        <f t="shared" si="107"/>
        <v>0.24015</v>
      </c>
      <c r="M342" s="116">
        <f t="shared" si="107"/>
        <v>0.24217</v>
      </c>
      <c r="N342" s="116">
        <f t="shared" si="107"/>
        <v>0.2442</v>
      </c>
      <c r="O342" s="116">
        <f t="shared" si="107"/>
        <v>0.24625</v>
      </c>
      <c r="P342" s="116">
        <f t="shared" si="107"/>
        <v>0.24832000000000001</v>
      </c>
      <c r="Q342" s="116">
        <f t="shared" si="107"/>
        <v>0.25041000000000002</v>
      </c>
      <c r="R342" s="116">
        <f t="shared" si="107"/>
        <v>0.25251000000000001</v>
      </c>
      <c r="S342" s="116">
        <f t="shared" si="107"/>
        <v>0.25463000000000002</v>
      </c>
      <c r="T342" s="116">
        <f t="shared" si="107"/>
        <v>0.25677</v>
      </c>
      <c r="U342" s="116">
        <f t="shared" si="107"/>
        <v>0.25892999999999999</v>
      </c>
      <c r="V342" s="116">
        <f t="shared" si="107"/>
        <v>0.26111000000000001</v>
      </c>
      <c r="W342" s="116">
        <f t="shared" si="107"/>
        <v>0.26294000000000001</v>
      </c>
      <c r="X342" s="116">
        <f t="shared" si="107"/>
        <v>0.26478000000000002</v>
      </c>
      <c r="Y342" s="116">
        <f t="shared" si="107"/>
        <v>0.26662999999999998</v>
      </c>
      <c r="Z342" s="116">
        <f t="shared" si="107"/>
        <v>0.26850000000000002</v>
      </c>
      <c r="AA342" s="116">
        <f t="shared" si="107"/>
        <v>0.27038000000000001</v>
      </c>
      <c r="AB342" s="116">
        <f t="shared" si="107"/>
        <v>0.27227000000000001</v>
      </c>
      <c r="AC342" s="116">
        <f t="shared" si="107"/>
        <v>0.27417999999999998</v>
      </c>
      <c r="AD342" s="116">
        <f t="shared" si="107"/>
        <v>0.27610000000000001</v>
      </c>
      <c r="AE342" s="116">
        <f t="shared" si="107"/>
        <v>0.27803</v>
      </c>
      <c r="AF342" s="116">
        <f t="shared" si="107"/>
        <v>0.27998000000000001</v>
      </c>
      <c r="AG342" s="116">
        <f t="shared" si="107"/>
        <v>0.28253</v>
      </c>
      <c r="AH342" s="116">
        <f t="shared" si="107"/>
        <v>0.28510000000000002</v>
      </c>
      <c r="AI342" s="116">
        <f t="shared" si="107"/>
        <v>0.28769</v>
      </c>
      <c r="AJ342" s="116">
        <f t="shared" si="107"/>
        <v>0.29031000000000001</v>
      </c>
      <c r="AK342" s="116">
        <f t="shared" si="107"/>
        <v>0.29294999999999999</v>
      </c>
      <c r="AL342" s="116">
        <f t="shared" si="107"/>
        <v>0.29561999999999999</v>
      </c>
      <c r="AM342" s="116">
        <f t="shared" si="107"/>
        <v>0.29831000000000002</v>
      </c>
      <c r="AN342" s="116">
        <f t="shared" si="107"/>
        <v>0.30102000000000001</v>
      </c>
      <c r="AO342" s="116">
        <f t="shared" si="107"/>
        <v>0.30375999999999997</v>
      </c>
      <c r="AP342" s="116">
        <f t="shared" si="107"/>
        <v>0.30652000000000001</v>
      </c>
      <c r="AQ342" s="118">
        <f t="shared" si="99"/>
        <v>10.444889512982696</v>
      </c>
    </row>
    <row r="343" spans="2:43">
      <c r="B343" s="55" t="s">
        <v>220</v>
      </c>
      <c r="C343" s="116">
        <f>(1.02*0.01)/$C$27</f>
        <v>1.3304587074261668E-2</v>
      </c>
      <c r="D343" s="116">
        <f>ROUND(C343*(1+(0.7*D42)),5)</f>
        <v>1.3469999999999999E-2</v>
      </c>
      <c r="E343" s="116">
        <f t="shared" ref="E343:AP343" si="108">ROUND(D343*(1+(0.7*E42)),5)</f>
        <v>1.359E-2</v>
      </c>
      <c r="F343" s="116">
        <f t="shared" si="108"/>
        <v>1.376E-2</v>
      </c>
      <c r="G343" s="116">
        <f t="shared" si="108"/>
        <v>1.4019999999999999E-2</v>
      </c>
      <c r="H343" s="116">
        <f t="shared" si="108"/>
        <v>1.421E-2</v>
      </c>
      <c r="I343" s="116">
        <f t="shared" si="108"/>
        <v>1.438E-2</v>
      </c>
      <c r="J343" s="116">
        <f t="shared" si="108"/>
        <v>1.455E-2</v>
      </c>
      <c r="K343" s="116">
        <f t="shared" si="108"/>
        <v>1.472E-2</v>
      </c>
      <c r="L343" s="116">
        <f t="shared" si="108"/>
        <v>1.49E-2</v>
      </c>
      <c r="M343" s="116">
        <f t="shared" si="108"/>
        <v>1.503E-2</v>
      </c>
      <c r="N343" s="116">
        <f t="shared" si="108"/>
        <v>1.516E-2</v>
      </c>
      <c r="O343" s="116">
        <f t="shared" si="108"/>
        <v>1.529E-2</v>
      </c>
      <c r="P343" s="116">
        <f t="shared" si="108"/>
        <v>1.542E-2</v>
      </c>
      <c r="Q343" s="116">
        <f t="shared" si="108"/>
        <v>1.555E-2</v>
      </c>
      <c r="R343" s="116">
        <f t="shared" si="108"/>
        <v>1.5679999999999999E-2</v>
      </c>
      <c r="S343" s="116">
        <f t="shared" si="108"/>
        <v>1.5810000000000001E-2</v>
      </c>
      <c r="T343" s="116">
        <f t="shared" si="108"/>
        <v>1.5939999999999999E-2</v>
      </c>
      <c r="U343" s="116">
        <f t="shared" si="108"/>
        <v>1.6070000000000001E-2</v>
      </c>
      <c r="V343" s="116">
        <f t="shared" si="108"/>
        <v>1.6199999999999999E-2</v>
      </c>
      <c r="W343" s="116">
        <f t="shared" si="108"/>
        <v>1.6310000000000002E-2</v>
      </c>
      <c r="X343" s="116">
        <f t="shared" si="108"/>
        <v>1.6420000000000001E-2</v>
      </c>
      <c r="Y343" s="116">
        <f t="shared" si="108"/>
        <v>1.653E-2</v>
      </c>
      <c r="Z343" s="116">
        <f t="shared" si="108"/>
        <v>1.6650000000000002E-2</v>
      </c>
      <c r="AA343" s="116">
        <f t="shared" si="108"/>
        <v>1.677E-2</v>
      </c>
      <c r="AB343" s="116">
        <f t="shared" si="108"/>
        <v>1.6889999999999999E-2</v>
      </c>
      <c r="AC343" s="116">
        <f t="shared" si="108"/>
        <v>1.7010000000000001E-2</v>
      </c>
      <c r="AD343" s="116">
        <f t="shared" si="108"/>
        <v>1.7129999999999999E-2</v>
      </c>
      <c r="AE343" s="116">
        <f t="shared" si="108"/>
        <v>1.7250000000000001E-2</v>
      </c>
      <c r="AF343" s="116">
        <f t="shared" si="108"/>
        <v>1.737E-2</v>
      </c>
      <c r="AG343" s="116">
        <f t="shared" si="108"/>
        <v>1.753E-2</v>
      </c>
      <c r="AH343" s="116">
        <f t="shared" si="108"/>
        <v>1.7690000000000001E-2</v>
      </c>
      <c r="AI343" s="116">
        <f t="shared" si="108"/>
        <v>1.7850000000000001E-2</v>
      </c>
      <c r="AJ343" s="116">
        <f t="shared" si="108"/>
        <v>1.8010000000000002E-2</v>
      </c>
      <c r="AK343" s="116">
        <f t="shared" si="108"/>
        <v>1.8169999999999999E-2</v>
      </c>
      <c r="AL343" s="116">
        <f t="shared" si="108"/>
        <v>1.8339999999999999E-2</v>
      </c>
      <c r="AM343" s="116">
        <f t="shared" si="108"/>
        <v>1.8509999999999999E-2</v>
      </c>
      <c r="AN343" s="116">
        <f t="shared" si="108"/>
        <v>1.8679999999999999E-2</v>
      </c>
      <c r="AO343" s="116">
        <f t="shared" si="108"/>
        <v>1.8849999999999999E-2</v>
      </c>
      <c r="AP343" s="116">
        <f t="shared" si="108"/>
        <v>1.9019999999999999E-2</v>
      </c>
      <c r="AQ343" s="118">
        <f t="shared" si="99"/>
        <v>0.64803458707426187</v>
      </c>
    </row>
    <row r="344" spans="2:43">
      <c r="B344" s="55" t="s">
        <v>225</v>
      </c>
      <c r="C344" s="116">
        <f>(0.13*0.01)/$C$27</f>
        <v>1.6956826663274674E-3</v>
      </c>
      <c r="D344" s="116">
        <f>ROUND(C344*(1+(0.7*D42)),5)</f>
        <v>1.72E-3</v>
      </c>
      <c r="E344" s="116">
        <f t="shared" ref="E344:AP344" si="109">ROUND(D344*(1+(0.7*E42)),5)</f>
        <v>1.74E-3</v>
      </c>
      <c r="F344" s="116">
        <f t="shared" si="109"/>
        <v>1.7600000000000001E-3</v>
      </c>
      <c r="G344" s="116">
        <f t="shared" si="109"/>
        <v>1.7899999999999999E-3</v>
      </c>
      <c r="H344" s="116">
        <f t="shared" si="109"/>
        <v>1.81E-3</v>
      </c>
      <c r="I344" s="116">
        <f t="shared" si="109"/>
        <v>1.83E-3</v>
      </c>
      <c r="J344" s="116">
        <f t="shared" si="109"/>
        <v>1.8500000000000001E-3</v>
      </c>
      <c r="K344" s="116">
        <f t="shared" si="109"/>
        <v>1.8699999999999999E-3</v>
      </c>
      <c r="L344" s="116">
        <f t="shared" si="109"/>
        <v>1.89E-3</v>
      </c>
      <c r="M344" s="116">
        <f t="shared" si="109"/>
        <v>1.91E-3</v>
      </c>
      <c r="N344" s="116">
        <f t="shared" si="109"/>
        <v>1.9300000000000001E-3</v>
      </c>
      <c r="O344" s="116">
        <f t="shared" si="109"/>
        <v>1.9499999999999999E-3</v>
      </c>
      <c r="P344" s="116">
        <f t="shared" si="109"/>
        <v>1.97E-3</v>
      </c>
      <c r="Q344" s="116">
        <f t="shared" si="109"/>
        <v>1.99E-3</v>
      </c>
      <c r="R344" s="116">
        <f t="shared" si="109"/>
        <v>2.0100000000000001E-3</v>
      </c>
      <c r="S344" s="116">
        <f t="shared" si="109"/>
        <v>2.0300000000000001E-3</v>
      </c>
      <c r="T344" s="116">
        <f t="shared" si="109"/>
        <v>2.0500000000000002E-3</v>
      </c>
      <c r="U344" s="116">
        <f t="shared" si="109"/>
        <v>2.0699999999999998E-3</v>
      </c>
      <c r="V344" s="116">
        <f t="shared" si="109"/>
        <v>2.0899999999999998E-3</v>
      </c>
      <c r="W344" s="116">
        <f t="shared" si="109"/>
        <v>2.0999999999999999E-3</v>
      </c>
      <c r="X344" s="116">
        <f t="shared" si="109"/>
        <v>2.1099999999999999E-3</v>
      </c>
      <c r="Y344" s="116">
        <f t="shared" si="109"/>
        <v>2.1199999999999999E-3</v>
      </c>
      <c r="Z344" s="116">
        <f t="shared" si="109"/>
        <v>2.1299999999999999E-3</v>
      </c>
      <c r="AA344" s="116">
        <f t="shared" si="109"/>
        <v>2.14E-3</v>
      </c>
      <c r="AB344" s="116">
        <f t="shared" si="109"/>
        <v>2.15E-3</v>
      </c>
      <c r="AC344" s="116">
        <f t="shared" si="109"/>
        <v>2.1700000000000001E-3</v>
      </c>
      <c r="AD344" s="116">
        <f t="shared" si="109"/>
        <v>2.1900000000000001E-3</v>
      </c>
      <c r="AE344" s="116">
        <f t="shared" si="109"/>
        <v>2.2100000000000002E-3</v>
      </c>
      <c r="AF344" s="116">
        <f t="shared" si="109"/>
        <v>2.2300000000000002E-3</v>
      </c>
      <c r="AG344" s="116">
        <f t="shared" si="109"/>
        <v>2.2499999999999998E-3</v>
      </c>
      <c r="AH344" s="116">
        <f t="shared" si="109"/>
        <v>2.2699999999999999E-3</v>
      </c>
      <c r="AI344" s="116">
        <f t="shared" si="109"/>
        <v>2.2899999999999999E-3</v>
      </c>
      <c r="AJ344" s="116">
        <f t="shared" si="109"/>
        <v>2.31E-3</v>
      </c>
      <c r="AK344" s="116">
        <f t="shared" si="109"/>
        <v>2.33E-3</v>
      </c>
      <c r="AL344" s="116">
        <f t="shared" si="109"/>
        <v>2.3500000000000001E-3</v>
      </c>
      <c r="AM344" s="116">
        <f t="shared" si="109"/>
        <v>2.3700000000000001E-3</v>
      </c>
      <c r="AN344" s="116">
        <f t="shared" si="109"/>
        <v>2.3900000000000002E-3</v>
      </c>
      <c r="AO344" s="116">
        <f t="shared" si="109"/>
        <v>2.4099999999999998E-3</v>
      </c>
      <c r="AP344" s="116">
        <f t="shared" si="109"/>
        <v>2.4299999999999999E-3</v>
      </c>
      <c r="AQ344" s="118">
        <f t="shared" si="99"/>
        <v>8.2905682666327474E-2</v>
      </c>
    </row>
    <row r="345" spans="2:43">
      <c r="B345" s="55" t="s">
        <v>216</v>
      </c>
      <c r="C345" s="116">
        <f>(12.61*0.01)/$C$27</f>
        <v>0.1644812186337643</v>
      </c>
      <c r="D345" s="116">
        <f>ROUND(C345*(1+(0.7*D42)),5)</f>
        <v>0.16647000000000001</v>
      </c>
      <c r="E345" s="116">
        <f t="shared" ref="E345:AP345" si="110">ROUND(D345*(1+(0.7*E42)),5)</f>
        <v>0.16794000000000001</v>
      </c>
      <c r="F345" s="116">
        <f t="shared" si="110"/>
        <v>0.17000999999999999</v>
      </c>
      <c r="G345" s="116">
        <f t="shared" si="110"/>
        <v>0.17316999999999999</v>
      </c>
      <c r="H345" s="116">
        <f t="shared" si="110"/>
        <v>0.17548</v>
      </c>
      <c r="I345" s="116">
        <f t="shared" si="110"/>
        <v>0.17757000000000001</v>
      </c>
      <c r="J345" s="116">
        <f t="shared" si="110"/>
        <v>0.17968000000000001</v>
      </c>
      <c r="K345" s="116">
        <f t="shared" si="110"/>
        <v>0.18182000000000001</v>
      </c>
      <c r="L345" s="116">
        <f t="shared" si="110"/>
        <v>0.18398</v>
      </c>
      <c r="M345" s="116">
        <f t="shared" si="110"/>
        <v>0.18553</v>
      </c>
      <c r="N345" s="116">
        <f t="shared" si="110"/>
        <v>0.18709000000000001</v>
      </c>
      <c r="O345" s="116">
        <f t="shared" si="110"/>
        <v>0.18865999999999999</v>
      </c>
      <c r="P345" s="116">
        <f t="shared" si="110"/>
        <v>0.19023999999999999</v>
      </c>
      <c r="Q345" s="116">
        <f t="shared" si="110"/>
        <v>0.19184000000000001</v>
      </c>
      <c r="R345" s="116">
        <f t="shared" si="110"/>
        <v>0.19345000000000001</v>
      </c>
      <c r="S345" s="116">
        <f t="shared" si="110"/>
        <v>0.19506999999999999</v>
      </c>
      <c r="T345" s="116">
        <f t="shared" si="110"/>
        <v>0.19671</v>
      </c>
      <c r="U345" s="116">
        <f t="shared" si="110"/>
        <v>0.19836000000000001</v>
      </c>
      <c r="V345" s="116">
        <f t="shared" si="110"/>
        <v>0.20003000000000001</v>
      </c>
      <c r="W345" s="116">
        <f t="shared" si="110"/>
        <v>0.20143</v>
      </c>
      <c r="X345" s="116">
        <f t="shared" si="110"/>
        <v>0.20283999999999999</v>
      </c>
      <c r="Y345" s="116">
        <f t="shared" si="110"/>
        <v>0.20426</v>
      </c>
      <c r="Z345" s="116">
        <f t="shared" si="110"/>
        <v>0.20569000000000001</v>
      </c>
      <c r="AA345" s="116">
        <f t="shared" si="110"/>
        <v>0.20713000000000001</v>
      </c>
      <c r="AB345" s="116">
        <f t="shared" si="110"/>
        <v>0.20857999999999999</v>
      </c>
      <c r="AC345" s="116">
        <f t="shared" si="110"/>
        <v>0.21004</v>
      </c>
      <c r="AD345" s="116">
        <f t="shared" si="110"/>
        <v>0.21151</v>
      </c>
      <c r="AE345" s="116">
        <f t="shared" si="110"/>
        <v>0.21299000000000001</v>
      </c>
      <c r="AF345" s="116">
        <f t="shared" si="110"/>
        <v>0.21448</v>
      </c>
      <c r="AG345" s="116">
        <f t="shared" si="110"/>
        <v>0.21643000000000001</v>
      </c>
      <c r="AH345" s="116">
        <f t="shared" si="110"/>
        <v>0.21840000000000001</v>
      </c>
      <c r="AI345" s="116">
        <f t="shared" si="110"/>
        <v>0.22039</v>
      </c>
      <c r="AJ345" s="116">
        <f t="shared" si="110"/>
        <v>0.22239999999999999</v>
      </c>
      <c r="AK345" s="116">
        <f t="shared" si="110"/>
        <v>0.22442000000000001</v>
      </c>
      <c r="AL345" s="116">
        <f t="shared" si="110"/>
        <v>0.22645999999999999</v>
      </c>
      <c r="AM345" s="116">
        <f t="shared" si="110"/>
        <v>0.22852</v>
      </c>
      <c r="AN345" s="116">
        <f t="shared" si="110"/>
        <v>0.2306</v>
      </c>
      <c r="AO345" s="116">
        <f t="shared" si="110"/>
        <v>0.23269999999999999</v>
      </c>
      <c r="AP345" s="116">
        <f t="shared" si="110"/>
        <v>0.23482</v>
      </c>
      <c r="AQ345" s="118">
        <f t="shared" si="99"/>
        <v>8.0016712186337653</v>
      </c>
    </row>
    <row r="346" spans="2:43">
      <c r="B346" s="55" t="s">
        <v>221</v>
      </c>
      <c r="C346" s="116">
        <f>(0.78*0.01)/$C$27</f>
        <v>1.0174095997964804E-2</v>
      </c>
      <c r="D346" s="116">
        <f>ROUND(C346*(1+(0.7*D42)),5)</f>
        <v>1.03E-2</v>
      </c>
      <c r="E346" s="116">
        <f t="shared" ref="E346:AP346" si="111">ROUND(D346*(1+(0.7*E42)),5)</f>
        <v>1.039E-2</v>
      </c>
      <c r="F346" s="116">
        <f t="shared" si="111"/>
        <v>1.052E-2</v>
      </c>
      <c r="G346" s="116">
        <f t="shared" si="111"/>
        <v>1.072E-2</v>
      </c>
      <c r="H346" s="116">
        <f t="shared" si="111"/>
        <v>1.086E-2</v>
      </c>
      <c r="I346" s="116">
        <f t="shared" si="111"/>
        <v>1.099E-2</v>
      </c>
      <c r="J346" s="116">
        <f t="shared" si="111"/>
        <v>1.112E-2</v>
      </c>
      <c r="K346" s="116">
        <f t="shared" si="111"/>
        <v>1.125E-2</v>
      </c>
      <c r="L346" s="116">
        <f t="shared" si="111"/>
        <v>1.1379999999999999E-2</v>
      </c>
      <c r="M346" s="116">
        <f t="shared" si="111"/>
        <v>1.1480000000000001E-2</v>
      </c>
      <c r="N346" s="116">
        <f t="shared" si="111"/>
        <v>1.158E-2</v>
      </c>
      <c r="O346" s="116">
        <f t="shared" si="111"/>
        <v>1.1679999999999999E-2</v>
      </c>
      <c r="P346" s="116">
        <f t="shared" si="111"/>
        <v>1.1780000000000001E-2</v>
      </c>
      <c r="Q346" s="116">
        <f t="shared" si="111"/>
        <v>1.188E-2</v>
      </c>
      <c r="R346" s="116">
        <f t="shared" si="111"/>
        <v>1.1979999999999999E-2</v>
      </c>
      <c r="S346" s="116">
        <f t="shared" si="111"/>
        <v>1.208E-2</v>
      </c>
      <c r="T346" s="116">
        <f t="shared" si="111"/>
        <v>1.218E-2</v>
      </c>
      <c r="U346" s="116">
        <f t="shared" si="111"/>
        <v>1.2279999999999999E-2</v>
      </c>
      <c r="V346" s="116">
        <f t="shared" si="111"/>
        <v>1.238E-2</v>
      </c>
      <c r="W346" s="116">
        <f t="shared" si="111"/>
        <v>1.247E-2</v>
      </c>
      <c r="X346" s="116">
        <f t="shared" si="111"/>
        <v>1.256E-2</v>
      </c>
      <c r="Y346" s="116">
        <f t="shared" si="111"/>
        <v>1.265E-2</v>
      </c>
      <c r="Z346" s="116">
        <f t="shared" si="111"/>
        <v>1.274E-2</v>
      </c>
      <c r="AA346" s="116">
        <f t="shared" si="111"/>
        <v>1.2829999999999999E-2</v>
      </c>
      <c r="AB346" s="116">
        <f t="shared" si="111"/>
        <v>1.2919999999999999E-2</v>
      </c>
      <c r="AC346" s="116">
        <f t="shared" si="111"/>
        <v>1.3010000000000001E-2</v>
      </c>
      <c r="AD346" s="116">
        <f t="shared" si="111"/>
        <v>1.3100000000000001E-2</v>
      </c>
      <c r="AE346" s="116">
        <f t="shared" si="111"/>
        <v>1.319E-2</v>
      </c>
      <c r="AF346" s="116">
        <f t="shared" si="111"/>
        <v>1.328E-2</v>
      </c>
      <c r="AG346" s="116">
        <f t="shared" si="111"/>
        <v>1.34E-2</v>
      </c>
      <c r="AH346" s="116">
        <f t="shared" si="111"/>
        <v>1.3520000000000001E-2</v>
      </c>
      <c r="AI346" s="116">
        <f t="shared" si="111"/>
        <v>1.3639999999999999E-2</v>
      </c>
      <c r="AJ346" s="116">
        <f t="shared" si="111"/>
        <v>1.376E-2</v>
      </c>
      <c r="AK346" s="116">
        <f t="shared" si="111"/>
        <v>1.389E-2</v>
      </c>
      <c r="AL346" s="116">
        <f t="shared" si="111"/>
        <v>1.4019999999999999E-2</v>
      </c>
      <c r="AM346" s="116">
        <f t="shared" si="111"/>
        <v>1.4149999999999999E-2</v>
      </c>
      <c r="AN346" s="116">
        <f t="shared" si="111"/>
        <v>1.4279999999999999E-2</v>
      </c>
      <c r="AO346" s="116">
        <f t="shared" si="111"/>
        <v>1.4409999999999999E-2</v>
      </c>
      <c r="AP346" s="116">
        <f t="shared" si="111"/>
        <v>1.4540000000000001E-2</v>
      </c>
      <c r="AQ346" s="118">
        <f t="shared" si="99"/>
        <v>0.49536409599796477</v>
      </c>
    </row>
    <row r="347" spans="2:43">
      <c r="B347" s="55" t="s">
        <v>226</v>
      </c>
      <c r="C347" s="116">
        <f>(0.1*0.01)/$C$27</f>
        <v>1.3043712817903594E-3</v>
      </c>
      <c r="D347" s="116">
        <f>ROUND(C347*(1+(0.7*D42)),5)</f>
        <v>1.32E-3</v>
      </c>
      <c r="E347" s="116">
        <f t="shared" ref="E347:AP347" si="112">ROUND(D347*(1+(0.7*E42)),5)</f>
        <v>1.33E-3</v>
      </c>
      <c r="F347" s="116">
        <f t="shared" si="112"/>
        <v>1.3500000000000001E-3</v>
      </c>
      <c r="G347" s="116">
        <f t="shared" si="112"/>
        <v>1.3799999999999999E-3</v>
      </c>
      <c r="H347" s="116">
        <f t="shared" si="112"/>
        <v>1.4E-3</v>
      </c>
      <c r="I347" s="116">
        <f t="shared" si="112"/>
        <v>1.42E-3</v>
      </c>
      <c r="J347" s="116">
        <f t="shared" si="112"/>
        <v>1.4400000000000001E-3</v>
      </c>
      <c r="K347" s="116">
        <f t="shared" si="112"/>
        <v>1.4599999999999999E-3</v>
      </c>
      <c r="L347" s="116">
        <f t="shared" si="112"/>
        <v>1.48E-3</v>
      </c>
      <c r="M347" s="116">
        <f t="shared" si="112"/>
        <v>1.49E-3</v>
      </c>
      <c r="N347" s="116">
        <f t="shared" si="112"/>
        <v>1.5E-3</v>
      </c>
      <c r="O347" s="116">
        <f t="shared" si="112"/>
        <v>1.5100000000000001E-3</v>
      </c>
      <c r="P347" s="116">
        <f t="shared" si="112"/>
        <v>1.5200000000000001E-3</v>
      </c>
      <c r="Q347" s="116">
        <f t="shared" si="112"/>
        <v>1.5299999999999999E-3</v>
      </c>
      <c r="R347" s="116">
        <f t="shared" si="112"/>
        <v>1.5399999999999999E-3</v>
      </c>
      <c r="S347" s="116">
        <f t="shared" si="112"/>
        <v>1.5499999999999999E-3</v>
      </c>
      <c r="T347" s="116">
        <f t="shared" si="112"/>
        <v>1.56E-3</v>
      </c>
      <c r="U347" s="116">
        <f t="shared" si="112"/>
        <v>1.57E-3</v>
      </c>
      <c r="V347" s="116">
        <f t="shared" si="112"/>
        <v>1.58E-3</v>
      </c>
      <c r="W347" s="116">
        <f t="shared" si="112"/>
        <v>1.5900000000000001E-3</v>
      </c>
      <c r="X347" s="116">
        <f t="shared" si="112"/>
        <v>1.6000000000000001E-3</v>
      </c>
      <c r="Y347" s="116">
        <f t="shared" si="112"/>
        <v>1.6100000000000001E-3</v>
      </c>
      <c r="Z347" s="116">
        <f t="shared" si="112"/>
        <v>1.6199999999999999E-3</v>
      </c>
      <c r="AA347" s="116">
        <f t="shared" si="112"/>
        <v>1.6299999999999999E-3</v>
      </c>
      <c r="AB347" s="116">
        <f t="shared" si="112"/>
        <v>1.64E-3</v>
      </c>
      <c r="AC347" s="116">
        <f t="shared" si="112"/>
        <v>1.65E-3</v>
      </c>
      <c r="AD347" s="116">
        <f t="shared" si="112"/>
        <v>1.66E-3</v>
      </c>
      <c r="AE347" s="116">
        <f t="shared" si="112"/>
        <v>1.67E-3</v>
      </c>
      <c r="AF347" s="116">
        <f t="shared" si="112"/>
        <v>1.6800000000000001E-3</v>
      </c>
      <c r="AG347" s="116">
        <f t="shared" si="112"/>
        <v>1.6999999999999999E-3</v>
      </c>
      <c r="AH347" s="116">
        <f t="shared" si="112"/>
        <v>1.72E-3</v>
      </c>
      <c r="AI347" s="116">
        <f t="shared" si="112"/>
        <v>1.74E-3</v>
      </c>
      <c r="AJ347" s="116">
        <f t="shared" si="112"/>
        <v>1.7600000000000001E-3</v>
      </c>
      <c r="AK347" s="116">
        <f t="shared" si="112"/>
        <v>1.7799999999999999E-3</v>
      </c>
      <c r="AL347" s="116">
        <f t="shared" si="112"/>
        <v>1.8E-3</v>
      </c>
      <c r="AM347" s="116">
        <f t="shared" si="112"/>
        <v>1.82E-3</v>
      </c>
      <c r="AN347" s="116">
        <f t="shared" si="112"/>
        <v>1.8400000000000001E-3</v>
      </c>
      <c r="AO347" s="116">
        <f t="shared" si="112"/>
        <v>1.8600000000000001E-3</v>
      </c>
      <c r="AP347" s="116">
        <f t="shared" si="112"/>
        <v>1.8799999999999999E-3</v>
      </c>
      <c r="AQ347" s="118">
        <f t="shared" si="99"/>
        <v>6.3484371281790367E-2</v>
      </c>
    </row>
    <row r="348" spans="2:43">
      <c r="B348" s="1" t="s">
        <v>508</v>
      </c>
    </row>
  </sheetData>
  <mergeCells count="34">
    <mergeCell ref="B8:C8"/>
    <mergeCell ref="B112:C112"/>
    <mergeCell ref="B243:C243"/>
    <mergeCell ref="B24:C24"/>
    <mergeCell ref="B41:B42"/>
    <mergeCell ref="C45:D45"/>
    <mergeCell ref="C53:D53"/>
    <mergeCell ref="C59:D59"/>
    <mergeCell ref="C65:D65"/>
    <mergeCell ref="B207:E207"/>
    <mergeCell ref="B195:E195"/>
    <mergeCell ref="B93:D93"/>
    <mergeCell ref="C82:E82"/>
    <mergeCell ref="B88:D88"/>
    <mergeCell ref="E88:G88"/>
    <mergeCell ref="C76:F76"/>
    <mergeCell ref="C140:D140"/>
    <mergeCell ref="C150:D150"/>
    <mergeCell ref="E150:F150"/>
    <mergeCell ref="C98:D98"/>
    <mergeCell ref="E98:E99"/>
    <mergeCell ref="C106:D106"/>
    <mergeCell ref="E106:E107"/>
    <mergeCell ref="B172:G172"/>
    <mergeCell ref="B322:E322"/>
    <mergeCell ref="B229:C229"/>
    <mergeCell ref="B202:D202"/>
    <mergeCell ref="C157:C159"/>
    <mergeCell ref="D157:I157"/>
    <mergeCell ref="B157:B158"/>
    <mergeCell ref="B312:G312"/>
    <mergeCell ref="C270:H270"/>
    <mergeCell ref="B285:D285"/>
    <mergeCell ref="B295:E295"/>
  </mergeCells>
  <phoneticPr fontId="7" type="noConversion"/>
  <pageMargins left="0.19685039370078741" right="0.19685039370078741" top="0.98425196850393704" bottom="0.78740157480314965" header="0.51181102362204722" footer="0.51181102362204722"/>
  <pageSetup paperSize="9" scale="75" orientation="landscape" r:id="rId1"/>
  <headerFooter alignWithMargins="0">
    <oddHeader>&amp;LPríloha 7: Štandardné tabuľky - Cesty
&amp;"Arial,Tučné"&amp;12Parametre</oddHeader>
    <oddFooter>&amp;CStrana &amp;P z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AQ62"/>
  <sheetViews>
    <sheetView zoomScale="80" zoomScaleNormal="80" workbookViewId="0">
      <selection activeCell="P32" sqref="P32"/>
    </sheetView>
  </sheetViews>
  <sheetFormatPr defaultColWidth="9.140625" defaultRowHeight="11.25"/>
  <cols>
    <col min="1" max="1" width="2.7109375" style="2" customWidth="1"/>
    <col min="2" max="2" width="44.7109375" style="2" customWidth="1"/>
    <col min="3" max="3" width="13.7109375" style="2" customWidth="1"/>
    <col min="4" max="4" width="10.7109375" style="2" customWidth="1"/>
    <col min="5" max="7" width="11.28515625" style="2" customWidth="1"/>
    <col min="8" max="43" width="10.85546875" style="2" customWidth="1"/>
    <col min="44" max="44" width="5" style="2" bestFit="1" customWidth="1"/>
    <col min="45" max="16384" width="9.140625" style="2"/>
  </cols>
  <sheetData>
    <row r="2" spans="2:43" ht="12">
      <c r="B2" s="491" t="s">
        <v>807</v>
      </c>
    </row>
    <row r="4" spans="2:43">
      <c r="B4" s="15" t="s">
        <v>23</v>
      </c>
      <c r="C4" s="15"/>
      <c r="D4" s="3" t="s">
        <v>9</v>
      </c>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row>
    <row r="5" spans="2:43">
      <c r="B5" s="4"/>
      <c r="C5" s="18" t="s">
        <v>8</v>
      </c>
      <c r="D5" s="5">
        <v>1</v>
      </c>
      <c r="E5" s="5">
        <v>2</v>
      </c>
      <c r="F5" s="5">
        <v>3</v>
      </c>
      <c r="G5" s="5">
        <v>4</v>
      </c>
      <c r="H5" s="5">
        <v>5</v>
      </c>
      <c r="I5" s="5">
        <v>6</v>
      </c>
      <c r="J5" s="5">
        <v>7</v>
      </c>
      <c r="K5" s="5">
        <v>8</v>
      </c>
      <c r="L5" s="5">
        <v>9</v>
      </c>
      <c r="M5" s="5">
        <v>10</v>
      </c>
      <c r="N5" s="5">
        <v>11</v>
      </c>
      <c r="O5" s="5">
        <v>12</v>
      </c>
      <c r="P5" s="5">
        <v>13</v>
      </c>
      <c r="Q5" s="5">
        <v>14</v>
      </c>
      <c r="R5" s="5">
        <v>15</v>
      </c>
      <c r="S5" s="5">
        <v>16</v>
      </c>
      <c r="T5" s="5">
        <v>17</v>
      </c>
      <c r="U5" s="5">
        <v>18</v>
      </c>
      <c r="V5" s="5">
        <v>19</v>
      </c>
      <c r="W5" s="5">
        <v>20</v>
      </c>
      <c r="X5" s="5">
        <v>21</v>
      </c>
      <c r="Y5" s="5">
        <v>22</v>
      </c>
      <c r="Z5" s="5">
        <v>23</v>
      </c>
      <c r="AA5" s="5">
        <v>24</v>
      </c>
      <c r="AB5" s="5">
        <v>25</v>
      </c>
      <c r="AC5" s="5">
        <v>26</v>
      </c>
      <c r="AD5" s="5">
        <v>27</v>
      </c>
      <c r="AE5" s="5">
        <v>28</v>
      </c>
      <c r="AF5" s="5">
        <v>29</v>
      </c>
      <c r="AG5" s="5">
        <v>30</v>
      </c>
      <c r="AH5" s="5">
        <v>31</v>
      </c>
      <c r="AI5" s="5">
        <v>32</v>
      </c>
      <c r="AJ5" s="5">
        <v>33</v>
      </c>
      <c r="AK5" s="5">
        <v>34</v>
      </c>
      <c r="AL5" s="5">
        <v>35</v>
      </c>
      <c r="AM5" s="5">
        <v>36</v>
      </c>
      <c r="AN5" s="5">
        <v>37</v>
      </c>
      <c r="AO5" s="5">
        <v>38</v>
      </c>
      <c r="AP5" s="5">
        <v>39</v>
      </c>
      <c r="AQ5" s="5">
        <v>40</v>
      </c>
    </row>
    <row r="6" spans="2:43">
      <c r="B6" s="6" t="s">
        <v>50</v>
      </c>
      <c r="C6" s="132" t="s">
        <v>261</v>
      </c>
      <c r="D6" s="7">
        <f>Parametre!C13</f>
        <v>2024</v>
      </c>
      <c r="E6" s="7">
        <f>$D$6+D5</f>
        <v>2025</v>
      </c>
      <c r="F6" s="7">
        <f>$D$6+E5</f>
        <v>2026</v>
      </c>
      <c r="G6" s="7">
        <f t="shared" ref="G6:AF6" si="0">$D$6+F5</f>
        <v>2027</v>
      </c>
      <c r="H6" s="7">
        <f t="shared" si="0"/>
        <v>2028</v>
      </c>
      <c r="I6" s="7">
        <f t="shared" si="0"/>
        <v>2029</v>
      </c>
      <c r="J6" s="7">
        <f t="shared" si="0"/>
        <v>2030</v>
      </c>
      <c r="K6" s="7">
        <f t="shared" si="0"/>
        <v>2031</v>
      </c>
      <c r="L6" s="7">
        <f t="shared" si="0"/>
        <v>2032</v>
      </c>
      <c r="M6" s="7">
        <f t="shared" si="0"/>
        <v>2033</v>
      </c>
      <c r="N6" s="7">
        <f t="shared" si="0"/>
        <v>2034</v>
      </c>
      <c r="O6" s="7">
        <f t="shared" si="0"/>
        <v>2035</v>
      </c>
      <c r="P6" s="7">
        <f t="shared" si="0"/>
        <v>2036</v>
      </c>
      <c r="Q6" s="7">
        <f t="shared" si="0"/>
        <v>2037</v>
      </c>
      <c r="R6" s="7">
        <f t="shared" si="0"/>
        <v>2038</v>
      </c>
      <c r="S6" s="7">
        <f t="shared" si="0"/>
        <v>2039</v>
      </c>
      <c r="T6" s="7">
        <f t="shared" si="0"/>
        <v>2040</v>
      </c>
      <c r="U6" s="7">
        <f t="shared" si="0"/>
        <v>2041</v>
      </c>
      <c r="V6" s="7">
        <f t="shared" si="0"/>
        <v>2042</v>
      </c>
      <c r="W6" s="7">
        <f t="shared" si="0"/>
        <v>2043</v>
      </c>
      <c r="X6" s="7">
        <f t="shared" si="0"/>
        <v>2044</v>
      </c>
      <c r="Y6" s="7">
        <f t="shared" si="0"/>
        <v>2045</v>
      </c>
      <c r="Z6" s="7">
        <f t="shared" si="0"/>
        <v>2046</v>
      </c>
      <c r="AA6" s="7">
        <f t="shared" si="0"/>
        <v>2047</v>
      </c>
      <c r="AB6" s="7">
        <f t="shared" si="0"/>
        <v>2048</v>
      </c>
      <c r="AC6" s="7">
        <f t="shared" si="0"/>
        <v>2049</v>
      </c>
      <c r="AD6" s="7">
        <f t="shared" si="0"/>
        <v>2050</v>
      </c>
      <c r="AE6" s="7">
        <f t="shared" si="0"/>
        <v>2051</v>
      </c>
      <c r="AF6" s="7">
        <f t="shared" si="0"/>
        <v>2052</v>
      </c>
      <c r="AG6" s="7">
        <f t="shared" ref="AG6" si="1">$D$6+AF5</f>
        <v>2053</v>
      </c>
      <c r="AH6" s="7">
        <f t="shared" ref="AH6" si="2">$D$6+AG5</f>
        <v>2054</v>
      </c>
      <c r="AI6" s="7">
        <f t="shared" ref="AI6" si="3">$D$6+AH5</f>
        <v>2055</v>
      </c>
      <c r="AJ6" s="7">
        <f t="shared" ref="AJ6" si="4">$D$6+AI5</f>
        <v>2056</v>
      </c>
      <c r="AK6" s="7">
        <f t="shared" ref="AK6" si="5">$D$6+AJ5</f>
        <v>2057</v>
      </c>
      <c r="AL6" s="7">
        <f t="shared" ref="AL6" si="6">$D$6+AK5</f>
        <v>2058</v>
      </c>
      <c r="AM6" s="7">
        <f t="shared" ref="AM6" si="7">$D$6+AL5</f>
        <v>2059</v>
      </c>
      <c r="AN6" s="7">
        <f t="shared" ref="AN6" si="8">$D$6+AM5</f>
        <v>2060</v>
      </c>
      <c r="AO6" s="7">
        <f t="shared" ref="AO6" si="9">$D$6+AN5</f>
        <v>2061</v>
      </c>
      <c r="AP6" s="7">
        <f t="shared" ref="AP6" si="10">$D$6+AO5</f>
        <v>2062</v>
      </c>
      <c r="AQ6" s="7">
        <f t="shared" ref="AQ6" si="11">$D$6+AP5</f>
        <v>2063</v>
      </c>
    </row>
    <row r="7" spans="2:43">
      <c r="B7" s="3" t="s">
        <v>74</v>
      </c>
      <c r="C7" s="136">
        <f>D7+NPV(Parametre!$C$9,'06 Finančná analýza'!E7:AQ7)</f>
        <v>31537135.148764137</v>
      </c>
      <c r="D7" s="8">
        <f>'01 Investičné výdavky'!D30</f>
        <v>1484365.2921840784</v>
      </c>
      <c r="E7" s="8">
        <f>'01 Investičné výdavky'!E30</f>
        <v>9296814.1984160691</v>
      </c>
      <c r="F7" s="8">
        <f>'01 Investičné výdavky'!F30</f>
        <v>7812448.906231991</v>
      </c>
      <c r="G7" s="8">
        <f>'01 Investičné výdavky'!G30</f>
        <v>15624897.812463982</v>
      </c>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row>
    <row r="8" spans="2:43">
      <c r="B8" s="3" t="s">
        <v>73</v>
      </c>
      <c r="C8" s="136">
        <f>D8+NPV(Parametre!$C$9,'06 Finančná analýza'!E8:AQ8)</f>
        <v>-29050018.761606377</v>
      </c>
      <c r="D8" s="8">
        <f>'03 Prevádzkové výdavky'!D37</f>
        <v>0</v>
      </c>
      <c r="E8" s="8">
        <f>'03 Prevádzkové výdavky'!E37</f>
        <v>0</v>
      </c>
      <c r="F8" s="8">
        <f>'03 Prevádzkové výdavky'!F37</f>
        <v>0</v>
      </c>
      <c r="G8" s="8">
        <f>'03 Prevádzkové výdavky'!G37</f>
        <v>-556777.61025022762</v>
      </c>
      <c r="H8" s="8">
        <f>'03 Prevádzkové výdavky'!H37</f>
        <v>-1918766.4534776006</v>
      </c>
      <c r="I8" s="8">
        <f>'03 Prevádzkové výdavky'!I37</f>
        <v>-1918766.4534776006</v>
      </c>
      <c r="J8" s="8">
        <f>'03 Prevádzkové výdavky'!J37</f>
        <v>-1918766.4534776006</v>
      </c>
      <c r="K8" s="8">
        <f>'03 Prevádzkové výdavky'!K37</f>
        <v>-1918766.4534776006</v>
      </c>
      <c r="L8" s="8">
        <f>'03 Prevádzkové výdavky'!L37</f>
        <v>-1918766.4534776006</v>
      </c>
      <c r="M8" s="8">
        <f>'03 Prevádzkové výdavky'!M37</f>
        <v>-1918766.4534776006</v>
      </c>
      <c r="N8" s="8">
        <f>'03 Prevádzkové výdavky'!N37</f>
        <v>-1918766.4534776006</v>
      </c>
      <c r="O8" s="8">
        <f>'03 Prevádzkové výdavky'!O37</f>
        <v>-1918766.4534776006</v>
      </c>
      <c r="P8" s="8">
        <f>'03 Prevádzkové výdavky'!P37</f>
        <v>-1918766.4534776006</v>
      </c>
      <c r="Q8" s="8">
        <f>'03 Prevádzkové výdavky'!Q37</f>
        <v>-1918766.4534776006</v>
      </c>
      <c r="R8" s="8">
        <f>'03 Prevádzkové výdavky'!R37</f>
        <v>-1918766.4534776006</v>
      </c>
      <c r="S8" s="8">
        <f>'03 Prevádzkové výdavky'!S37</f>
        <v>-1918766.4534776006</v>
      </c>
      <c r="T8" s="8">
        <f>'03 Prevádzkové výdavky'!T37</f>
        <v>-1918766.4534776006</v>
      </c>
      <c r="U8" s="8">
        <f>'03 Prevádzkové výdavky'!U37</f>
        <v>-1918766.4534776006</v>
      </c>
      <c r="V8" s="8">
        <f>'03 Prevádzkové výdavky'!V37</f>
        <v>-1918766.4534776006</v>
      </c>
      <c r="W8" s="8">
        <f>'03 Prevádzkové výdavky'!W37</f>
        <v>-1918766.4534776006</v>
      </c>
      <c r="X8" s="8">
        <f>'03 Prevádzkové výdavky'!X37</f>
        <v>-1918766.4534776006</v>
      </c>
      <c r="Y8" s="8">
        <f>'03 Prevádzkové výdavky'!Y37</f>
        <v>-1918766.4534776006</v>
      </c>
      <c r="Z8" s="8">
        <f>'03 Prevádzkové výdavky'!Z37</f>
        <v>-1918766.4534776006</v>
      </c>
      <c r="AA8" s="8">
        <f>'03 Prevádzkové výdavky'!AA37</f>
        <v>5055271.4219837636</v>
      </c>
      <c r="AB8" s="8">
        <f>'03 Prevádzkové výdavky'!AB37</f>
        <v>-1918766.4534776006</v>
      </c>
      <c r="AC8" s="8">
        <f>'03 Prevádzkové výdavky'!AC37</f>
        <v>-1918766.4534776006</v>
      </c>
      <c r="AD8" s="8">
        <f>'03 Prevádzkové výdavky'!AD37</f>
        <v>-1918766.4534776006</v>
      </c>
      <c r="AE8" s="8">
        <f>'03 Prevádzkové výdavky'!AE37</f>
        <v>-1918766.4534776006</v>
      </c>
      <c r="AF8" s="8">
        <f>'03 Prevádzkové výdavky'!AF37</f>
        <v>-1918766.4534776006</v>
      </c>
      <c r="AG8" s="8">
        <f>'03 Prevádzkové výdavky'!AG37</f>
        <v>-1918766.4534776006</v>
      </c>
      <c r="AH8" s="8">
        <f>'03 Prevádzkové výdavky'!AH37</f>
        <v>-1918766.4534776006</v>
      </c>
      <c r="AI8" s="8">
        <f>'03 Prevádzkové výdavky'!AI37</f>
        <v>-1918766.4534776006</v>
      </c>
      <c r="AJ8" s="8">
        <f>'03 Prevádzkové výdavky'!AJ37</f>
        <v>-1918766.4534776006</v>
      </c>
      <c r="AK8" s="8">
        <f>'03 Prevádzkové výdavky'!AK37</f>
        <v>1250599.0907602352</v>
      </c>
      <c r="AL8" s="8">
        <f>'03 Prevádzkové výdavky'!AL37</f>
        <v>-1918766.4534776006</v>
      </c>
      <c r="AM8" s="8">
        <f>'03 Prevádzkové výdavky'!AM37</f>
        <v>-1918766.4534776006</v>
      </c>
      <c r="AN8" s="8">
        <f>'03 Prevádzkové výdavky'!AN37</f>
        <v>-1918766.4534776006</v>
      </c>
      <c r="AO8" s="8">
        <f>'03 Prevádzkové výdavky'!AO37</f>
        <v>-1918766.4534776006</v>
      </c>
      <c r="AP8" s="8">
        <f>'03 Prevádzkové výdavky'!AP37</f>
        <v>-1918766.4534776006</v>
      </c>
      <c r="AQ8" s="8">
        <f>'03 Prevádzkové výdavky'!AQ37</f>
        <v>-1918766.4534776006</v>
      </c>
    </row>
    <row r="9" spans="2:43">
      <c r="B9" s="3" t="s">
        <v>255</v>
      </c>
      <c r="C9" s="136">
        <f>D9+NPV(Parametre!$C$9,'06 Finančná analýza'!E9:AQ9)</f>
        <v>0</v>
      </c>
      <c r="D9" s="8">
        <f>'04 Prevádzkové príjmy'!D25</f>
        <v>0</v>
      </c>
      <c r="E9" s="8">
        <f>'04 Prevádzkové príjmy'!E25</f>
        <v>0</v>
      </c>
      <c r="F9" s="8">
        <f>'04 Prevádzkové príjmy'!F25</f>
        <v>0</v>
      </c>
      <c r="G9" s="8">
        <f>'04 Prevádzkové príjmy'!G25</f>
        <v>0</v>
      </c>
      <c r="H9" s="8">
        <f>'04 Prevádzkové príjmy'!H25</f>
        <v>0</v>
      </c>
      <c r="I9" s="8">
        <f>'04 Prevádzkové príjmy'!I25</f>
        <v>0</v>
      </c>
      <c r="J9" s="8">
        <f>'04 Prevádzkové príjmy'!J25</f>
        <v>0</v>
      </c>
      <c r="K9" s="8">
        <f>'04 Prevádzkové príjmy'!K25</f>
        <v>0</v>
      </c>
      <c r="L9" s="8">
        <f>'04 Prevádzkové príjmy'!L25</f>
        <v>0</v>
      </c>
      <c r="M9" s="8">
        <f>'04 Prevádzkové príjmy'!M25</f>
        <v>0</v>
      </c>
      <c r="N9" s="8">
        <f>'04 Prevádzkové príjmy'!N25</f>
        <v>0</v>
      </c>
      <c r="O9" s="8">
        <f>'04 Prevádzkové príjmy'!O25</f>
        <v>0</v>
      </c>
      <c r="P9" s="8">
        <f>'04 Prevádzkové príjmy'!P25</f>
        <v>0</v>
      </c>
      <c r="Q9" s="8">
        <f>'04 Prevádzkové príjmy'!Q25</f>
        <v>0</v>
      </c>
      <c r="R9" s="8">
        <f>'04 Prevádzkové príjmy'!R25</f>
        <v>0</v>
      </c>
      <c r="S9" s="8">
        <f>'04 Prevádzkové príjmy'!S25</f>
        <v>0</v>
      </c>
      <c r="T9" s="8">
        <f>'04 Prevádzkové príjmy'!T25</f>
        <v>0</v>
      </c>
      <c r="U9" s="8">
        <f>'04 Prevádzkové príjmy'!U25</f>
        <v>0</v>
      </c>
      <c r="V9" s="8">
        <f>'04 Prevádzkové príjmy'!V25</f>
        <v>0</v>
      </c>
      <c r="W9" s="8">
        <f>'04 Prevádzkové príjmy'!W25</f>
        <v>0</v>
      </c>
      <c r="X9" s="8">
        <f>'04 Prevádzkové príjmy'!X25</f>
        <v>0</v>
      </c>
      <c r="Y9" s="8">
        <f>'04 Prevádzkové príjmy'!Y25</f>
        <v>0</v>
      </c>
      <c r="Z9" s="8">
        <f>'04 Prevádzkové príjmy'!Z25</f>
        <v>0</v>
      </c>
      <c r="AA9" s="8">
        <f>'04 Prevádzkové príjmy'!AA25</f>
        <v>0</v>
      </c>
      <c r="AB9" s="8">
        <f>'04 Prevádzkové príjmy'!AB25</f>
        <v>0</v>
      </c>
      <c r="AC9" s="8">
        <f>'04 Prevádzkové príjmy'!AC25</f>
        <v>0</v>
      </c>
      <c r="AD9" s="8">
        <f>'04 Prevádzkové príjmy'!AD25</f>
        <v>0</v>
      </c>
      <c r="AE9" s="8">
        <f>'04 Prevádzkové príjmy'!AE25</f>
        <v>0</v>
      </c>
      <c r="AF9" s="8">
        <f>'04 Prevádzkové príjmy'!AF25</f>
        <v>0</v>
      </c>
      <c r="AG9" s="8">
        <f>'04 Prevádzkové príjmy'!AG25</f>
        <v>0</v>
      </c>
      <c r="AH9" s="8">
        <f>'04 Prevádzkové príjmy'!AH25</f>
        <v>0</v>
      </c>
      <c r="AI9" s="8">
        <f>'04 Prevádzkové príjmy'!AI25</f>
        <v>0</v>
      </c>
      <c r="AJ9" s="8">
        <f>'04 Prevádzkové príjmy'!AJ25</f>
        <v>0</v>
      </c>
      <c r="AK9" s="8">
        <f>'04 Prevádzkové príjmy'!AK25</f>
        <v>0</v>
      </c>
      <c r="AL9" s="8">
        <f>'04 Prevádzkové príjmy'!AL25</f>
        <v>0</v>
      </c>
      <c r="AM9" s="8">
        <f>'04 Prevádzkové príjmy'!AM25</f>
        <v>0</v>
      </c>
      <c r="AN9" s="8">
        <f>'04 Prevádzkové príjmy'!AN25</f>
        <v>0</v>
      </c>
      <c r="AO9" s="8">
        <f>'04 Prevádzkové príjmy'!AO25</f>
        <v>0</v>
      </c>
      <c r="AP9" s="8">
        <f>'04 Prevádzkové príjmy'!AP25</f>
        <v>0</v>
      </c>
      <c r="AQ9" s="8">
        <f>'04 Prevádzkové príjmy'!AQ25</f>
        <v>0</v>
      </c>
    </row>
    <row r="10" spans="2:43" ht="12" thickBot="1">
      <c r="B10" s="28" t="s">
        <v>15</v>
      </c>
      <c r="C10" s="137">
        <f>D10+NPV(Parametre!$C$9,'06 Finančná analýza'!E10:AQ10)</f>
        <v>1773783.5751913944</v>
      </c>
      <c r="D10" s="29">
        <v>0</v>
      </c>
      <c r="E10" s="29">
        <v>0</v>
      </c>
      <c r="F10" s="29">
        <v>0</v>
      </c>
      <c r="G10" s="29">
        <v>0</v>
      </c>
      <c r="H10" s="29">
        <v>0</v>
      </c>
      <c r="I10" s="29">
        <v>0</v>
      </c>
      <c r="J10" s="29">
        <v>0</v>
      </c>
      <c r="K10" s="29">
        <v>0</v>
      </c>
      <c r="L10" s="29">
        <v>0</v>
      </c>
      <c r="M10" s="29">
        <v>0</v>
      </c>
      <c r="N10" s="29">
        <v>0</v>
      </c>
      <c r="O10" s="29">
        <v>0</v>
      </c>
      <c r="P10" s="29">
        <v>0</v>
      </c>
      <c r="Q10" s="29">
        <v>0</v>
      </c>
      <c r="R10" s="29">
        <v>0</v>
      </c>
      <c r="S10" s="29">
        <v>0</v>
      </c>
      <c r="T10" s="29">
        <v>0</v>
      </c>
      <c r="U10" s="29">
        <v>0</v>
      </c>
      <c r="V10" s="29">
        <v>0</v>
      </c>
      <c r="W10" s="29">
        <v>0</v>
      </c>
      <c r="X10" s="29">
        <v>0</v>
      </c>
      <c r="Y10" s="29">
        <v>0</v>
      </c>
      <c r="Z10" s="29">
        <v>0</v>
      </c>
      <c r="AA10" s="29">
        <v>0</v>
      </c>
      <c r="AB10" s="29">
        <v>0</v>
      </c>
      <c r="AC10" s="29">
        <v>0</v>
      </c>
      <c r="AD10" s="29">
        <v>0</v>
      </c>
      <c r="AE10" s="29">
        <v>0</v>
      </c>
      <c r="AF10" s="29">
        <v>0</v>
      </c>
      <c r="AG10" s="29">
        <v>0</v>
      </c>
      <c r="AH10" s="29">
        <v>0</v>
      </c>
      <c r="AI10" s="29">
        <v>0</v>
      </c>
      <c r="AJ10" s="29">
        <v>0</v>
      </c>
      <c r="AK10" s="29">
        <v>0</v>
      </c>
      <c r="AL10" s="29">
        <v>0</v>
      </c>
      <c r="AM10" s="29">
        <v>0</v>
      </c>
      <c r="AN10" s="29">
        <v>0</v>
      </c>
      <c r="AO10" s="29">
        <v>0</v>
      </c>
      <c r="AP10" s="29">
        <v>0</v>
      </c>
      <c r="AQ10" s="30">
        <f>'02 Zostatková hodnota'!H22</f>
        <v>8188434.1672972282</v>
      </c>
    </row>
    <row r="11" spans="2:43" ht="12" thickTop="1">
      <c r="B11" s="23" t="s">
        <v>51</v>
      </c>
      <c r="C11" s="138">
        <f>D11+NPV(Parametre!$C$9,'06 Finančná analýza'!E11:AQ11)</f>
        <v>-713332.81196636963</v>
      </c>
      <c r="D11" s="24">
        <f>-D7-D8+D9+D10</f>
        <v>-1484365.2921840784</v>
      </c>
      <c r="E11" s="24">
        <f t="shared" ref="E11:AQ11" si="12">-E7-E8+E9+E10</f>
        <v>-9296814.1984160691</v>
      </c>
      <c r="F11" s="24">
        <f t="shared" si="12"/>
        <v>-7812448.906231991</v>
      </c>
      <c r="G11" s="24">
        <f t="shared" si="12"/>
        <v>-15068120.202213755</v>
      </c>
      <c r="H11" s="24">
        <f t="shared" si="12"/>
        <v>1918766.4534776006</v>
      </c>
      <c r="I11" s="24">
        <f t="shared" si="12"/>
        <v>1918766.4534776006</v>
      </c>
      <c r="J11" s="24">
        <f t="shared" si="12"/>
        <v>1918766.4534776006</v>
      </c>
      <c r="K11" s="24">
        <f t="shared" si="12"/>
        <v>1918766.4534776006</v>
      </c>
      <c r="L11" s="24">
        <f t="shared" si="12"/>
        <v>1918766.4534776006</v>
      </c>
      <c r="M11" s="24">
        <f t="shared" si="12"/>
        <v>1918766.4534776006</v>
      </c>
      <c r="N11" s="24">
        <f t="shared" si="12"/>
        <v>1918766.4534776006</v>
      </c>
      <c r="O11" s="24">
        <f t="shared" si="12"/>
        <v>1918766.4534776006</v>
      </c>
      <c r="P11" s="24">
        <f t="shared" si="12"/>
        <v>1918766.4534776006</v>
      </c>
      <c r="Q11" s="24">
        <f t="shared" si="12"/>
        <v>1918766.4534776006</v>
      </c>
      <c r="R11" s="24">
        <f t="shared" si="12"/>
        <v>1918766.4534776006</v>
      </c>
      <c r="S11" s="24">
        <f t="shared" si="12"/>
        <v>1918766.4534776006</v>
      </c>
      <c r="T11" s="24">
        <f t="shared" si="12"/>
        <v>1918766.4534776006</v>
      </c>
      <c r="U11" s="24">
        <f t="shared" si="12"/>
        <v>1918766.4534776006</v>
      </c>
      <c r="V11" s="24">
        <f t="shared" si="12"/>
        <v>1918766.4534776006</v>
      </c>
      <c r="W11" s="24">
        <f t="shared" si="12"/>
        <v>1918766.4534776006</v>
      </c>
      <c r="X11" s="24">
        <f t="shared" si="12"/>
        <v>1918766.4534776006</v>
      </c>
      <c r="Y11" s="24">
        <f t="shared" si="12"/>
        <v>1918766.4534776006</v>
      </c>
      <c r="Z11" s="24">
        <f t="shared" si="12"/>
        <v>1918766.4534776006</v>
      </c>
      <c r="AA11" s="24">
        <f t="shared" si="12"/>
        <v>-5055271.4219837636</v>
      </c>
      <c r="AB11" s="24">
        <f t="shared" si="12"/>
        <v>1918766.4534776006</v>
      </c>
      <c r="AC11" s="24">
        <f t="shared" si="12"/>
        <v>1918766.4534776006</v>
      </c>
      <c r="AD11" s="24">
        <f t="shared" si="12"/>
        <v>1918766.4534776006</v>
      </c>
      <c r="AE11" s="24">
        <f t="shared" si="12"/>
        <v>1918766.4534776006</v>
      </c>
      <c r="AF11" s="24">
        <f t="shared" si="12"/>
        <v>1918766.4534776006</v>
      </c>
      <c r="AG11" s="24">
        <f t="shared" si="12"/>
        <v>1918766.4534776006</v>
      </c>
      <c r="AH11" s="24">
        <f t="shared" si="12"/>
        <v>1918766.4534776006</v>
      </c>
      <c r="AI11" s="24">
        <f t="shared" si="12"/>
        <v>1918766.4534776006</v>
      </c>
      <c r="AJ11" s="24">
        <f t="shared" si="12"/>
        <v>1918766.4534776006</v>
      </c>
      <c r="AK11" s="24">
        <f t="shared" si="12"/>
        <v>-1250599.0907602352</v>
      </c>
      <c r="AL11" s="24">
        <f t="shared" si="12"/>
        <v>1918766.4534776006</v>
      </c>
      <c r="AM11" s="24">
        <f t="shared" si="12"/>
        <v>1918766.4534776006</v>
      </c>
      <c r="AN11" s="24">
        <f t="shared" si="12"/>
        <v>1918766.4534776006</v>
      </c>
      <c r="AO11" s="24">
        <f t="shared" si="12"/>
        <v>1918766.4534776006</v>
      </c>
      <c r="AP11" s="24">
        <f t="shared" si="12"/>
        <v>1918766.4534776006</v>
      </c>
      <c r="AQ11" s="24">
        <f t="shared" si="12"/>
        <v>10107200.620774828</v>
      </c>
    </row>
    <row r="13" spans="2:43">
      <c r="B13" s="27" t="s">
        <v>19</v>
      </c>
      <c r="C13" s="205">
        <f>-C7-C8+C9+C10</f>
        <v>-713332.81196636613</v>
      </c>
      <c r="D13" s="2" t="s">
        <v>0</v>
      </c>
      <c r="E13" s="26"/>
    </row>
    <row r="14" spans="2:43">
      <c r="B14" s="27" t="s">
        <v>20</v>
      </c>
      <c r="C14" s="311">
        <f>IRR(D11:AQ11,1)</f>
        <v>3.8464819129005345E-2</v>
      </c>
    </row>
    <row r="17" spans="2:43">
      <c r="B17" s="15" t="s">
        <v>24</v>
      </c>
      <c r="C17" s="15"/>
      <c r="D17" s="3" t="s">
        <v>9</v>
      </c>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row>
    <row r="18" spans="2:43">
      <c r="B18" s="4"/>
      <c r="C18" s="18" t="s">
        <v>8</v>
      </c>
      <c r="D18" s="5">
        <v>1</v>
      </c>
      <c r="E18" s="5">
        <v>2</v>
      </c>
      <c r="F18" s="5">
        <v>3</v>
      </c>
      <c r="G18" s="5">
        <v>4</v>
      </c>
      <c r="H18" s="5">
        <v>5</v>
      </c>
      <c r="I18" s="5">
        <v>6</v>
      </c>
      <c r="J18" s="5">
        <v>7</v>
      </c>
      <c r="K18" s="5">
        <v>8</v>
      </c>
      <c r="L18" s="5">
        <v>9</v>
      </c>
      <c r="M18" s="5">
        <v>10</v>
      </c>
      <c r="N18" s="5">
        <v>11</v>
      </c>
      <c r="O18" s="5">
        <v>12</v>
      </c>
      <c r="P18" s="5">
        <v>13</v>
      </c>
      <c r="Q18" s="5">
        <v>14</v>
      </c>
      <c r="R18" s="5">
        <v>15</v>
      </c>
      <c r="S18" s="5">
        <v>16</v>
      </c>
      <c r="T18" s="5">
        <v>17</v>
      </c>
      <c r="U18" s="5">
        <v>18</v>
      </c>
      <c r="V18" s="5">
        <v>19</v>
      </c>
      <c r="W18" s="5">
        <v>20</v>
      </c>
      <c r="X18" s="5">
        <v>21</v>
      </c>
      <c r="Y18" s="5">
        <v>22</v>
      </c>
      <c r="Z18" s="5">
        <v>23</v>
      </c>
      <c r="AA18" s="5">
        <v>24</v>
      </c>
      <c r="AB18" s="5">
        <v>25</v>
      </c>
      <c r="AC18" s="5">
        <v>26</v>
      </c>
      <c r="AD18" s="5">
        <v>27</v>
      </c>
      <c r="AE18" s="5">
        <v>28</v>
      </c>
      <c r="AF18" s="5">
        <v>29</v>
      </c>
      <c r="AG18" s="5">
        <v>30</v>
      </c>
      <c r="AH18" s="5">
        <v>31</v>
      </c>
      <c r="AI18" s="5">
        <v>32</v>
      </c>
      <c r="AJ18" s="5">
        <v>33</v>
      </c>
      <c r="AK18" s="5">
        <v>34</v>
      </c>
      <c r="AL18" s="5">
        <v>35</v>
      </c>
      <c r="AM18" s="5">
        <v>36</v>
      </c>
      <c r="AN18" s="5">
        <v>37</v>
      </c>
      <c r="AO18" s="5">
        <v>38</v>
      </c>
      <c r="AP18" s="5">
        <v>39</v>
      </c>
      <c r="AQ18" s="5">
        <v>40</v>
      </c>
    </row>
    <row r="19" spans="2:43">
      <c r="B19" s="6" t="s">
        <v>50</v>
      </c>
      <c r="C19" s="132" t="s">
        <v>261</v>
      </c>
      <c r="D19" s="7">
        <f>D6</f>
        <v>2024</v>
      </c>
      <c r="E19" s="7">
        <f>E6</f>
        <v>2025</v>
      </c>
      <c r="F19" s="7">
        <f>F6</f>
        <v>2026</v>
      </c>
      <c r="G19" s="7">
        <f t="shared" ref="G19:AF19" si="13">G6</f>
        <v>2027</v>
      </c>
      <c r="H19" s="7">
        <f t="shared" si="13"/>
        <v>2028</v>
      </c>
      <c r="I19" s="7">
        <f t="shared" si="13"/>
        <v>2029</v>
      </c>
      <c r="J19" s="7">
        <f t="shared" si="13"/>
        <v>2030</v>
      </c>
      <c r="K19" s="7">
        <f t="shared" si="13"/>
        <v>2031</v>
      </c>
      <c r="L19" s="7">
        <f t="shared" si="13"/>
        <v>2032</v>
      </c>
      <c r="M19" s="7">
        <f t="shared" si="13"/>
        <v>2033</v>
      </c>
      <c r="N19" s="7">
        <f t="shared" si="13"/>
        <v>2034</v>
      </c>
      <c r="O19" s="7">
        <f t="shared" si="13"/>
        <v>2035</v>
      </c>
      <c r="P19" s="7">
        <f t="shared" si="13"/>
        <v>2036</v>
      </c>
      <c r="Q19" s="7">
        <f t="shared" si="13"/>
        <v>2037</v>
      </c>
      <c r="R19" s="7">
        <f t="shared" si="13"/>
        <v>2038</v>
      </c>
      <c r="S19" s="7">
        <f t="shared" si="13"/>
        <v>2039</v>
      </c>
      <c r="T19" s="7">
        <f t="shared" si="13"/>
        <v>2040</v>
      </c>
      <c r="U19" s="7">
        <f t="shared" si="13"/>
        <v>2041</v>
      </c>
      <c r="V19" s="7">
        <f t="shared" si="13"/>
        <v>2042</v>
      </c>
      <c r="W19" s="7">
        <f t="shared" si="13"/>
        <v>2043</v>
      </c>
      <c r="X19" s="7">
        <f t="shared" si="13"/>
        <v>2044</v>
      </c>
      <c r="Y19" s="7">
        <f t="shared" si="13"/>
        <v>2045</v>
      </c>
      <c r="Z19" s="7">
        <f t="shared" si="13"/>
        <v>2046</v>
      </c>
      <c r="AA19" s="7">
        <f t="shared" si="13"/>
        <v>2047</v>
      </c>
      <c r="AB19" s="7">
        <f t="shared" si="13"/>
        <v>2048</v>
      </c>
      <c r="AC19" s="7">
        <f t="shared" si="13"/>
        <v>2049</v>
      </c>
      <c r="AD19" s="7">
        <f t="shared" si="13"/>
        <v>2050</v>
      </c>
      <c r="AE19" s="7">
        <f t="shared" si="13"/>
        <v>2051</v>
      </c>
      <c r="AF19" s="7">
        <f t="shared" si="13"/>
        <v>2052</v>
      </c>
      <c r="AG19" s="7">
        <f t="shared" ref="AG19:AQ19" si="14">AG6</f>
        <v>2053</v>
      </c>
      <c r="AH19" s="7">
        <f t="shared" si="14"/>
        <v>2054</v>
      </c>
      <c r="AI19" s="7">
        <f t="shared" si="14"/>
        <v>2055</v>
      </c>
      <c r="AJ19" s="7">
        <f t="shared" si="14"/>
        <v>2056</v>
      </c>
      <c r="AK19" s="7">
        <f t="shared" si="14"/>
        <v>2057</v>
      </c>
      <c r="AL19" s="7">
        <f t="shared" si="14"/>
        <v>2058</v>
      </c>
      <c r="AM19" s="7">
        <f t="shared" si="14"/>
        <v>2059</v>
      </c>
      <c r="AN19" s="7">
        <f t="shared" si="14"/>
        <v>2060</v>
      </c>
      <c r="AO19" s="7">
        <f t="shared" si="14"/>
        <v>2061</v>
      </c>
      <c r="AP19" s="7">
        <f t="shared" si="14"/>
        <v>2062</v>
      </c>
      <c r="AQ19" s="7">
        <f t="shared" si="14"/>
        <v>2063</v>
      </c>
    </row>
    <row r="20" spans="2:43">
      <c r="B20" s="3" t="s">
        <v>262</v>
      </c>
      <c r="C20" s="136">
        <f>D20+NPV(Parametre!$C$9,'06 Finančná analýza'!E20:AQ20)</f>
        <v>16622423.434709776</v>
      </c>
      <c r="D20" s="8">
        <f>'05 Financovanie'!D29</f>
        <v>593746.11687363125</v>
      </c>
      <c r="E20" s="8">
        <f>'05 Financovanie'!E29</f>
        <v>4812468.5262389053</v>
      </c>
      <c r="F20" s="8">
        <f>'05 Financovanie'!F29</f>
        <v>4218722.4093652759</v>
      </c>
      <c r="G20" s="8">
        <f>'05 Financovanie'!G29</f>
        <v>8437444.8187305517</v>
      </c>
      <c r="H20" s="8">
        <f>'05 Financovanie'!H29</f>
        <v>0</v>
      </c>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row>
    <row r="21" spans="2:43">
      <c r="B21" s="3" t="s">
        <v>73</v>
      </c>
      <c r="C21" s="136">
        <f>D21+NPV(Parametre!$C$9,'06 Finančná analýza'!E21:AQ21)</f>
        <v>-29050018.761606377</v>
      </c>
      <c r="D21" s="8">
        <f>'03 Prevádzkové výdavky'!D37</f>
        <v>0</v>
      </c>
      <c r="E21" s="8">
        <f>'03 Prevádzkové výdavky'!E37</f>
        <v>0</v>
      </c>
      <c r="F21" s="8">
        <f>'03 Prevádzkové výdavky'!F37</f>
        <v>0</v>
      </c>
      <c r="G21" s="8">
        <f>'03 Prevádzkové výdavky'!G37</f>
        <v>-556777.61025022762</v>
      </c>
      <c r="H21" s="8">
        <f>'03 Prevádzkové výdavky'!H37</f>
        <v>-1918766.4534776006</v>
      </c>
      <c r="I21" s="8">
        <f>'03 Prevádzkové výdavky'!I37</f>
        <v>-1918766.4534776006</v>
      </c>
      <c r="J21" s="8">
        <f>'03 Prevádzkové výdavky'!J37</f>
        <v>-1918766.4534776006</v>
      </c>
      <c r="K21" s="8">
        <f>'03 Prevádzkové výdavky'!K37</f>
        <v>-1918766.4534776006</v>
      </c>
      <c r="L21" s="8">
        <f>'03 Prevádzkové výdavky'!L37</f>
        <v>-1918766.4534776006</v>
      </c>
      <c r="M21" s="8">
        <f>'03 Prevádzkové výdavky'!M37</f>
        <v>-1918766.4534776006</v>
      </c>
      <c r="N21" s="8">
        <f>'03 Prevádzkové výdavky'!N37</f>
        <v>-1918766.4534776006</v>
      </c>
      <c r="O21" s="8">
        <f>'03 Prevádzkové výdavky'!O37</f>
        <v>-1918766.4534776006</v>
      </c>
      <c r="P21" s="8">
        <f>'03 Prevádzkové výdavky'!P37</f>
        <v>-1918766.4534776006</v>
      </c>
      <c r="Q21" s="8">
        <f>'03 Prevádzkové výdavky'!Q37</f>
        <v>-1918766.4534776006</v>
      </c>
      <c r="R21" s="8">
        <f>'03 Prevádzkové výdavky'!R37</f>
        <v>-1918766.4534776006</v>
      </c>
      <c r="S21" s="8">
        <f>'03 Prevádzkové výdavky'!S37</f>
        <v>-1918766.4534776006</v>
      </c>
      <c r="T21" s="8">
        <f>'03 Prevádzkové výdavky'!T37</f>
        <v>-1918766.4534776006</v>
      </c>
      <c r="U21" s="8">
        <f>'03 Prevádzkové výdavky'!U37</f>
        <v>-1918766.4534776006</v>
      </c>
      <c r="V21" s="8">
        <f>'03 Prevádzkové výdavky'!V37</f>
        <v>-1918766.4534776006</v>
      </c>
      <c r="W21" s="8">
        <f>'03 Prevádzkové výdavky'!W37</f>
        <v>-1918766.4534776006</v>
      </c>
      <c r="X21" s="8">
        <f>'03 Prevádzkové výdavky'!X37</f>
        <v>-1918766.4534776006</v>
      </c>
      <c r="Y21" s="8">
        <f>'03 Prevádzkové výdavky'!Y37</f>
        <v>-1918766.4534776006</v>
      </c>
      <c r="Z21" s="8">
        <f>'03 Prevádzkové výdavky'!Z37</f>
        <v>-1918766.4534776006</v>
      </c>
      <c r="AA21" s="8">
        <f>'03 Prevádzkové výdavky'!AA37</f>
        <v>5055271.4219837636</v>
      </c>
      <c r="AB21" s="8">
        <f>'03 Prevádzkové výdavky'!AB37</f>
        <v>-1918766.4534776006</v>
      </c>
      <c r="AC21" s="8">
        <f>'03 Prevádzkové výdavky'!AC37</f>
        <v>-1918766.4534776006</v>
      </c>
      <c r="AD21" s="8">
        <f>'03 Prevádzkové výdavky'!AD37</f>
        <v>-1918766.4534776006</v>
      </c>
      <c r="AE21" s="8">
        <f>'03 Prevádzkové výdavky'!AE37</f>
        <v>-1918766.4534776006</v>
      </c>
      <c r="AF21" s="8">
        <f>'03 Prevádzkové výdavky'!AF37</f>
        <v>-1918766.4534776006</v>
      </c>
      <c r="AG21" s="8">
        <f>'03 Prevádzkové výdavky'!AG37</f>
        <v>-1918766.4534776006</v>
      </c>
      <c r="AH21" s="8">
        <f>'03 Prevádzkové výdavky'!AH37</f>
        <v>-1918766.4534776006</v>
      </c>
      <c r="AI21" s="8">
        <f>'03 Prevádzkové výdavky'!AI37</f>
        <v>-1918766.4534776006</v>
      </c>
      <c r="AJ21" s="8">
        <f>'03 Prevádzkové výdavky'!AJ37</f>
        <v>-1918766.4534776006</v>
      </c>
      <c r="AK21" s="8">
        <f>'03 Prevádzkové výdavky'!AK37</f>
        <v>1250599.0907602352</v>
      </c>
      <c r="AL21" s="8">
        <f>'03 Prevádzkové výdavky'!AL37</f>
        <v>-1918766.4534776006</v>
      </c>
      <c r="AM21" s="8">
        <f>'03 Prevádzkové výdavky'!AM37</f>
        <v>-1918766.4534776006</v>
      </c>
      <c r="AN21" s="8">
        <f>'03 Prevádzkové výdavky'!AN37</f>
        <v>-1918766.4534776006</v>
      </c>
      <c r="AO21" s="8">
        <f>'03 Prevádzkové výdavky'!AO37</f>
        <v>-1918766.4534776006</v>
      </c>
      <c r="AP21" s="8">
        <f>'03 Prevádzkové výdavky'!AP37</f>
        <v>-1918766.4534776006</v>
      </c>
      <c r="AQ21" s="8">
        <f>'03 Prevádzkové výdavky'!AQ37</f>
        <v>-1918766.4534776006</v>
      </c>
    </row>
    <row r="22" spans="2:43">
      <c r="B22" s="3" t="s">
        <v>277</v>
      </c>
      <c r="C22" s="136">
        <f>D22+NPV(Parametre!$C$9,'06 Finančná analýza'!E22:AQ22)</f>
        <v>0</v>
      </c>
      <c r="D22" s="9">
        <v>0</v>
      </c>
      <c r="E22" s="9">
        <v>0</v>
      </c>
      <c r="F22" s="9">
        <v>0</v>
      </c>
      <c r="G22" s="9">
        <v>0</v>
      </c>
      <c r="H22" s="9">
        <v>0</v>
      </c>
      <c r="I22" s="9">
        <v>0</v>
      </c>
      <c r="J22" s="9">
        <v>0</v>
      </c>
      <c r="K22" s="9">
        <v>0</v>
      </c>
      <c r="L22" s="9">
        <v>0</v>
      </c>
      <c r="M22" s="9">
        <v>0</v>
      </c>
      <c r="N22" s="9">
        <v>0</v>
      </c>
      <c r="O22" s="9">
        <v>0</v>
      </c>
      <c r="P22" s="9">
        <v>0</v>
      </c>
      <c r="Q22" s="9">
        <v>0</v>
      </c>
      <c r="R22" s="9">
        <v>0</v>
      </c>
      <c r="S22" s="9">
        <v>0</v>
      </c>
      <c r="T22" s="9">
        <v>0</v>
      </c>
      <c r="U22" s="9">
        <v>0</v>
      </c>
      <c r="V22" s="9">
        <v>0</v>
      </c>
      <c r="W22" s="9">
        <v>0</v>
      </c>
      <c r="X22" s="9">
        <v>0</v>
      </c>
      <c r="Y22" s="9">
        <v>0</v>
      </c>
      <c r="Z22" s="9">
        <v>0</v>
      </c>
      <c r="AA22" s="9">
        <v>0</v>
      </c>
      <c r="AB22" s="9">
        <v>0</v>
      </c>
      <c r="AC22" s="9">
        <v>0</v>
      </c>
      <c r="AD22" s="9">
        <v>0</v>
      </c>
      <c r="AE22" s="9">
        <v>0</v>
      </c>
      <c r="AF22" s="9">
        <v>0</v>
      </c>
      <c r="AG22" s="9">
        <v>0</v>
      </c>
      <c r="AH22" s="9">
        <v>0</v>
      </c>
      <c r="AI22" s="9">
        <v>0</v>
      </c>
      <c r="AJ22" s="9">
        <v>0</v>
      </c>
      <c r="AK22" s="9">
        <v>0</v>
      </c>
      <c r="AL22" s="9">
        <v>0</v>
      </c>
      <c r="AM22" s="9">
        <v>0</v>
      </c>
      <c r="AN22" s="9">
        <v>0</v>
      </c>
      <c r="AO22" s="9">
        <v>0</v>
      </c>
      <c r="AP22" s="9">
        <v>0</v>
      </c>
      <c r="AQ22" s="9">
        <v>0</v>
      </c>
    </row>
    <row r="23" spans="2:43">
      <c r="B23" s="3" t="s">
        <v>12</v>
      </c>
      <c r="C23" s="136">
        <f>D23+NPV(Parametre!$C$9,'06 Finančná analýza'!E23:AQ23)</f>
        <v>0</v>
      </c>
      <c r="D23" s="135">
        <f>'04 Prevádzkové príjmy'!D25</f>
        <v>0</v>
      </c>
      <c r="E23" s="135">
        <f>'04 Prevádzkové príjmy'!E25</f>
        <v>0</v>
      </c>
      <c r="F23" s="135">
        <f>'04 Prevádzkové príjmy'!F25</f>
        <v>0</v>
      </c>
      <c r="G23" s="135">
        <f>'04 Prevádzkové príjmy'!G25</f>
        <v>0</v>
      </c>
      <c r="H23" s="135">
        <f>'04 Prevádzkové príjmy'!H25</f>
        <v>0</v>
      </c>
      <c r="I23" s="135">
        <f>'04 Prevádzkové príjmy'!I25</f>
        <v>0</v>
      </c>
      <c r="J23" s="135">
        <f>'04 Prevádzkové príjmy'!J25</f>
        <v>0</v>
      </c>
      <c r="K23" s="135">
        <f>'04 Prevádzkové príjmy'!K25</f>
        <v>0</v>
      </c>
      <c r="L23" s="135">
        <f>'04 Prevádzkové príjmy'!L25</f>
        <v>0</v>
      </c>
      <c r="M23" s="135">
        <f>'04 Prevádzkové príjmy'!M25</f>
        <v>0</v>
      </c>
      <c r="N23" s="135">
        <f>'04 Prevádzkové príjmy'!N25</f>
        <v>0</v>
      </c>
      <c r="O23" s="135">
        <f>'04 Prevádzkové príjmy'!O25</f>
        <v>0</v>
      </c>
      <c r="P23" s="135">
        <f>'04 Prevádzkové príjmy'!P25</f>
        <v>0</v>
      </c>
      <c r="Q23" s="135">
        <f>'04 Prevádzkové príjmy'!Q25</f>
        <v>0</v>
      </c>
      <c r="R23" s="135">
        <f>'04 Prevádzkové príjmy'!R25</f>
        <v>0</v>
      </c>
      <c r="S23" s="135">
        <f>'04 Prevádzkové príjmy'!S25</f>
        <v>0</v>
      </c>
      <c r="T23" s="135">
        <f>'04 Prevádzkové príjmy'!T25</f>
        <v>0</v>
      </c>
      <c r="U23" s="135">
        <f>'04 Prevádzkové príjmy'!U25</f>
        <v>0</v>
      </c>
      <c r="V23" s="135">
        <f>'04 Prevádzkové príjmy'!V25</f>
        <v>0</v>
      </c>
      <c r="W23" s="135">
        <f>'04 Prevádzkové príjmy'!W25</f>
        <v>0</v>
      </c>
      <c r="X23" s="135">
        <f>'04 Prevádzkové príjmy'!X25</f>
        <v>0</v>
      </c>
      <c r="Y23" s="135">
        <f>'04 Prevádzkové príjmy'!Y25</f>
        <v>0</v>
      </c>
      <c r="Z23" s="135">
        <f>'04 Prevádzkové príjmy'!Z25</f>
        <v>0</v>
      </c>
      <c r="AA23" s="135">
        <f>'04 Prevádzkové príjmy'!AA25</f>
        <v>0</v>
      </c>
      <c r="AB23" s="135">
        <f>'04 Prevádzkové príjmy'!AB25</f>
        <v>0</v>
      </c>
      <c r="AC23" s="135">
        <f>'04 Prevádzkové príjmy'!AC25</f>
        <v>0</v>
      </c>
      <c r="AD23" s="135">
        <f>'04 Prevádzkové príjmy'!AD25</f>
        <v>0</v>
      </c>
      <c r="AE23" s="135">
        <f>'04 Prevádzkové príjmy'!AE25</f>
        <v>0</v>
      </c>
      <c r="AF23" s="135">
        <f>'04 Prevádzkové príjmy'!AF25</f>
        <v>0</v>
      </c>
      <c r="AG23" s="135">
        <f>'04 Prevádzkové príjmy'!AG25</f>
        <v>0</v>
      </c>
      <c r="AH23" s="135">
        <f>'04 Prevádzkové príjmy'!AH25</f>
        <v>0</v>
      </c>
      <c r="AI23" s="135">
        <f>'04 Prevádzkové príjmy'!AI25</f>
        <v>0</v>
      </c>
      <c r="AJ23" s="135">
        <f>'04 Prevádzkové príjmy'!AJ25</f>
        <v>0</v>
      </c>
      <c r="AK23" s="135">
        <f>'04 Prevádzkové príjmy'!AK25</f>
        <v>0</v>
      </c>
      <c r="AL23" s="135">
        <f>'04 Prevádzkové príjmy'!AL25</f>
        <v>0</v>
      </c>
      <c r="AM23" s="135">
        <f>'04 Prevádzkové príjmy'!AM25</f>
        <v>0</v>
      </c>
      <c r="AN23" s="135">
        <f>'04 Prevádzkové príjmy'!AN25</f>
        <v>0</v>
      </c>
      <c r="AO23" s="135">
        <f>'04 Prevádzkové príjmy'!AO25</f>
        <v>0</v>
      </c>
      <c r="AP23" s="135">
        <f>'04 Prevádzkové príjmy'!AP25</f>
        <v>0</v>
      </c>
      <c r="AQ23" s="135">
        <f>'04 Prevádzkové príjmy'!AQ25</f>
        <v>0</v>
      </c>
    </row>
    <row r="24" spans="2:43" ht="12" thickBot="1">
      <c r="B24" s="28" t="s">
        <v>15</v>
      </c>
      <c r="C24" s="137">
        <f>D24+NPV(Parametre!$C$9,'06 Finančná analýza'!E24:AQ24)</f>
        <v>1773783.5751913944</v>
      </c>
      <c r="D24" s="29">
        <v>0</v>
      </c>
      <c r="E24" s="29">
        <v>0</v>
      </c>
      <c r="F24" s="29">
        <v>0</v>
      </c>
      <c r="G24" s="29">
        <v>0</v>
      </c>
      <c r="H24" s="29">
        <v>0</v>
      </c>
      <c r="I24" s="29">
        <v>0</v>
      </c>
      <c r="J24" s="29">
        <v>0</v>
      </c>
      <c r="K24" s="29">
        <v>0</v>
      </c>
      <c r="L24" s="29">
        <v>0</v>
      </c>
      <c r="M24" s="29">
        <v>0</v>
      </c>
      <c r="N24" s="29">
        <v>0</v>
      </c>
      <c r="O24" s="29">
        <v>0</v>
      </c>
      <c r="P24" s="29">
        <v>0</v>
      </c>
      <c r="Q24" s="29">
        <v>0</v>
      </c>
      <c r="R24" s="29">
        <v>0</v>
      </c>
      <c r="S24" s="29">
        <v>0</v>
      </c>
      <c r="T24" s="29">
        <v>0</v>
      </c>
      <c r="U24" s="29">
        <v>0</v>
      </c>
      <c r="V24" s="29">
        <v>0</v>
      </c>
      <c r="W24" s="29">
        <v>0</v>
      </c>
      <c r="X24" s="29">
        <v>0</v>
      </c>
      <c r="Y24" s="29">
        <v>0</v>
      </c>
      <c r="Z24" s="29">
        <v>0</v>
      </c>
      <c r="AA24" s="29">
        <v>0</v>
      </c>
      <c r="AB24" s="29">
        <v>0</v>
      </c>
      <c r="AC24" s="29">
        <v>0</v>
      </c>
      <c r="AD24" s="29">
        <v>0</v>
      </c>
      <c r="AE24" s="29">
        <v>0</v>
      </c>
      <c r="AF24" s="29">
        <v>0</v>
      </c>
      <c r="AG24" s="29">
        <v>0</v>
      </c>
      <c r="AH24" s="29">
        <v>0</v>
      </c>
      <c r="AI24" s="29">
        <v>0</v>
      </c>
      <c r="AJ24" s="29">
        <v>0</v>
      </c>
      <c r="AK24" s="29">
        <v>0</v>
      </c>
      <c r="AL24" s="29">
        <v>0</v>
      </c>
      <c r="AM24" s="29">
        <v>0</v>
      </c>
      <c r="AN24" s="29">
        <v>0</v>
      </c>
      <c r="AO24" s="29">
        <v>0</v>
      </c>
      <c r="AP24" s="29">
        <v>0</v>
      </c>
      <c r="AQ24" s="29">
        <f>AQ10</f>
        <v>8188434.1672972282</v>
      </c>
    </row>
    <row r="25" spans="2:43" ht="12" thickTop="1">
      <c r="B25" s="23" t="s">
        <v>51</v>
      </c>
      <c r="C25" s="155">
        <f>D25+NPV(Parametre!$C$9,'06 Finančná analýza'!E25:AQ25)</f>
        <v>14201378.902087992</v>
      </c>
      <c r="D25" s="24">
        <f>-D20-D21-D22+D23+D24</f>
        <v>-593746.11687363125</v>
      </c>
      <c r="E25" s="24">
        <f t="shared" ref="E25:AQ25" si="15">-E20-E21-E22+E23+E24</f>
        <v>-4812468.5262389053</v>
      </c>
      <c r="F25" s="24">
        <f t="shared" si="15"/>
        <v>-4218722.4093652759</v>
      </c>
      <c r="G25" s="24">
        <f t="shared" si="15"/>
        <v>-7880667.2084803246</v>
      </c>
      <c r="H25" s="24">
        <f t="shared" si="15"/>
        <v>1918766.4534776006</v>
      </c>
      <c r="I25" s="24">
        <f t="shared" si="15"/>
        <v>1918766.4534776006</v>
      </c>
      <c r="J25" s="24">
        <f t="shared" si="15"/>
        <v>1918766.4534776006</v>
      </c>
      <c r="K25" s="24">
        <f t="shared" si="15"/>
        <v>1918766.4534776006</v>
      </c>
      <c r="L25" s="24">
        <f t="shared" si="15"/>
        <v>1918766.4534776006</v>
      </c>
      <c r="M25" s="24">
        <f t="shared" si="15"/>
        <v>1918766.4534776006</v>
      </c>
      <c r="N25" s="24">
        <f t="shared" si="15"/>
        <v>1918766.4534776006</v>
      </c>
      <c r="O25" s="24">
        <f t="shared" si="15"/>
        <v>1918766.4534776006</v>
      </c>
      <c r="P25" s="24">
        <f t="shared" si="15"/>
        <v>1918766.4534776006</v>
      </c>
      <c r="Q25" s="24">
        <f t="shared" si="15"/>
        <v>1918766.4534776006</v>
      </c>
      <c r="R25" s="24">
        <f t="shared" si="15"/>
        <v>1918766.4534776006</v>
      </c>
      <c r="S25" s="24">
        <f t="shared" si="15"/>
        <v>1918766.4534776006</v>
      </c>
      <c r="T25" s="24">
        <f t="shared" si="15"/>
        <v>1918766.4534776006</v>
      </c>
      <c r="U25" s="24">
        <f t="shared" si="15"/>
        <v>1918766.4534776006</v>
      </c>
      <c r="V25" s="24">
        <f t="shared" si="15"/>
        <v>1918766.4534776006</v>
      </c>
      <c r="W25" s="24">
        <f t="shared" si="15"/>
        <v>1918766.4534776006</v>
      </c>
      <c r="X25" s="24">
        <f t="shared" si="15"/>
        <v>1918766.4534776006</v>
      </c>
      <c r="Y25" s="24">
        <f t="shared" si="15"/>
        <v>1918766.4534776006</v>
      </c>
      <c r="Z25" s="24">
        <f t="shared" si="15"/>
        <v>1918766.4534776006</v>
      </c>
      <c r="AA25" s="24">
        <f t="shared" si="15"/>
        <v>-5055271.4219837636</v>
      </c>
      <c r="AB25" s="24">
        <f t="shared" si="15"/>
        <v>1918766.4534776006</v>
      </c>
      <c r="AC25" s="24">
        <f t="shared" si="15"/>
        <v>1918766.4534776006</v>
      </c>
      <c r="AD25" s="24">
        <f t="shared" si="15"/>
        <v>1918766.4534776006</v>
      </c>
      <c r="AE25" s="24">
        <f t="shared" si="15"/>
        <v>1918766.4534776006</v>
      </c>
      <c r="AF25" s="24">
        <f t="shared" si="15"/>
        <v>1918766.4534776006</v>
      </c>
      <c r="AG25" s="24">
        <f t="shared" si="15"/>
        <v>1918766.4534776006</v>
      </c>
      <c r="AH25" s="24">
        <f t="shared" si="15"/>
        <v>1918766.4534776006</v>
      </c>
      <c r="AI25" s="24">
        <f t="shared" si="15"/>
        <v>1918766.4534776006</v>
      </c>
      <c r="AJ25" s="24">
        <f t="shared" si="15"/>
        <v>1918766.4534776006</v>
      </c>
      <c r="AK25" s="24">
        <f t="shared" si="15"/>
        <v>-1250599.0907602352</v>
      </c>
      <c r="AL25" s="24">
        <f t="shared" si="15"/>
        <v>1918766.4534776006</v>
      </c>
      <c r="AM25" s="24">
        <f t="shared" si="15"/>
        <v>1918766.4534776006</v>
      </c>
      <c r="AN25" s="24">
        <f t="shared" si="15"/>
        <v>1918766.4534776006</v>
      </c>
      <c r="AO25" s="24">
        <f t="shared" si="15"/>
        <v>1918766.4534776006</v>
      </c>
      <c r="AP25" s="24">
        <f t="shared" si="15"/>
        <v>1918766.4534776006</v>
      </c>
      <c r="AQ25" s="24">
        <f t="shared" si="15"/>
        <v>10107200.620774828</v>
      </c>
    </row>
    <row r="27" spans="2:43">
      <c r="B27" s="27" t="s">
        <v>21</v>
      </c>
      <c r="C27" s="205">
        <f>-C20-C21-C22+C23+C24</f>
        <v>14201378.902087994</v>
      </c>
      <c r="D27" s="26" t="s">
        <v>0</v>
      </c>
    </row>
    <row r="28" spans="2:43">
      <c r="B28" s="27" t="s">
        <v>22</v>
      </c>
      <c r="C28" s="311">
        <f>IRR(D25:AQ25,1)</f>
        <v>9.1461292363377744E-2</v>
      </c>
    </row>
    <row r="29" spans="2:43">
      <c r="D29" s="26"/>
    </row>
    <row r="31" spans="2:43">
      <c r="B31" s="15" t="s">
        <v>264</v>
      </c>
      <c r="C31" s="15"/>
      <c r="D31" s="3" t="s">
        <v>9</v>
      </c>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row>
    <row r="32" spans="2:43">
      <c r="B32" s="4"/>
      <c r="C32" s="4"/>
      <c r="D32" s="5">
        <v>1</v>
      </c>
      <c r="E32" s="5">
        <v>2</v>
      </c>
      <c r="F32" s="5">
        <v>3</v>
      </c>
      <c r="G32" s="5">
        <v>4</v>
      </c>
      <c r="H32" s="5">
        <v>5</v>
      </c>
      <c r="I32" s="5">
        <v>6</v>
      </c>
      <c r="J32" s="5">
        <v>7</v>
      </c>
      <c r="K32" s="5">
        <v>8</v>
      </c>
      <c r="L32" s="5">
        <v>9</v>
      </c>
      <c r="M32" s="5">
        <v>10</v>
      </c>
      <c r="N32" s="5">
        <v>11</v>
      </c>
      <c r="O32" s="5">
        <v>12</v>
      </c>
      <c r="P32" s="5">
        <v>13</v>
      </c>
      <c r="Q32" s="5">
        <v>14</v>
      </c>
      <c r="R32" s="5">
        <v>15</v>
      </c>
      <c r="S32" s="5">
        <v>16</v>
      </c>
      <c r="T32" s="5">
        <v>17</v>
      </c>
      <c r="U32" s="5">
        <v>18</v>
      </c>
      <c r="V32" s="5">
        <v>19</v>
      </c>
      <c r="W32" s="5">
        <v>20</v>
      </c>
      <c r="X32" s="5">
        <v>21</v>
      </c>
      <c r="Y32" s="5">
        <v>22</v>
      </c>
      <c r="Z32" s="5">
        <v>23</v>
      </c>
      <c r="AA32" s="5">
        <v>24</v>
      </c>
      <c r="AB32" s="5">
        <v>25</v>
      </c>
      <c r="AC32" s="5">
        <v>26</v>
      </c>
      <c r="AD32" s="5">
        <v>27</v>
      </c>
      <c r="AE32" s="5">
        <v>28</v>
      </c>
      <c r="AF32" s="5">
        <v>29</v>
      </c>
      <c r="AG32" s="5">
        <v>30</v>
      </c>
      <c r="AH32" s="5">
        <v>31</v>
      </c>
      <c r="AI32" s="5">
        <v>32</v>
      </c>
      <c r="AJ32" s="5">
        <v>33</v>
      </c>
      <c r="AK32" s="5">
        <v>34</v>
      </c>
      <c r="AL32" s="5">
        <v>35</v>
      </c>
      <c r="AM32" s="5">
        <v>36</v>
      </c>
      <c r="AN32" s="5">
        <v>37</v>
      </c>
      <c r="AO32" s="5">
        <v>38</v>
      </c>
      <c r="AP32" s="5">
        <v>39</v>
      </c>
      <c r="AQ32" s="5">
        <v>40</v>
      </c>
    </row>
    <row r="33" spans="2:43">
      <c r="B33" s="6" t="s">
        <v>50</v>
      </c>
      <c r="C33" s="132" t="s">
        <v>8</v>
      </c>
      <c r="D33" s="7">
        <f>D6</f>
        <v>2024</v>
      </c>
      <c r="E33" s="7">
        <f t="shared" ref="E33:AF33" si="16">E6</f>
        <v>2025</v>
      </c>
      <c r="F33" s="7">
        <f t="shared" si="16"/>
        <v>2026</v>
      </c>
      <c r="G33" s="7">
        <f t="shared" si="16"/>
        <v>2027</v>
      </c>
      <c r="H33" s="7">
        <f t="shared" si="16"/>
        <v>2028</v>
      </c>
      <c r="I33" s="7">
        <f t="shared" si="16"/>
        <v>2029</v>
      </c>
      <c r="J33" s="7">
        <f t="shared" si="16"/>
        <v>2030</v>
      </c>
      <c r="K33" s="7">
        <f t="shared" si="16"/>
        <v>2031</v>
      </c>
      <c r="L33" s="7">
        <f t="shared" si="16"/>
        <v>2032</v>
      </c>
      <c r="M33" s="7">
        <f t="shared" si="16"/>
        <v>2033</v>
      </c>
      <c r="N33" s="7">
        <f t="shared" si="16"/>
        <v>2034</v>
      </c>
      <c r="O33" s="7">
        <f t="shared" si="16"/>
        <v>2035</v>
      </c>
      <c r="P33" s="7">
        <f t="shared" si="16"/>
        <v>2036</v>
      </c>
      <c r="Q33" s="7">
        <f t="shared" si="16"/>
        <v>2037</v>
      </c>
      <c r="R33" s="7">
        <f t="shared" si="16"/>
        <v>2038</v>
      </c>
      <c r="S33" s="7">
        <f t="shared" si="16"/>
        <v>2039</v>
      </c>
      <c r="T33" s="7">
        <f t="shared" si="16"/>
        <v>2040</v>
      </c>
      <c r="U33" s="7">
        <f t="shared" si="16"/>
        <v>2041</v>
      </c>
      <c r="V33" s="7">
        <f t="shared" si="16"/>
        <v>2042</v>
      </c>
      <c r="W33" s="7">
        <f t="shared" si="16"/>
        <v>2043</v>
      </c>
      <c r="X33" s="7">
        <f t="shared" si="16"/>
        <v>2044</v>
      </c>
      <c r="Y33" s="7">
        <f t="shared" si="16"/>
        <v>2045</v>
      </c>
      <c r="Z33" s="7">
        <f t="shared" si="16"/>
        <v>2046</v>
      </c>
      <c r="AA33" s="7">
        <f t="shared" si="16"/>
        <v>2047</v>
      </c>
      <c r="AB33" s="7">
        <f t="shared" si="16"/>
        <v>2048</v>
      </c>
      <c r="AC33" s="7">
        <f t="shared" si="16"/>
        <v>2049</v>
      </c>
      <c r="AD33" s="7">
        <f t="shared" si="16"/>
        <v>2050</v>
      </c>
      <c r="AE33" s="7">
        <f t="shared" si="16"/>
        <v>2051</v>
      </c>
      <c r="AF33" s="7">
        <f t="shared" si="16"/>
        <v>2052</v>
      </c>
      <c r="AG33" s="7">
        <f t="shared" ref="AG33:AQ33" si="17">AG6</f>
        <v>2053</v>
      </c>
      <c r="AH33" s="7">
        <f t="shared" si="17"/>
        <v>2054</v>
      </c>
      <c r="AI33" s="7">
        <f t="shared" si="17"/>
        <v>2055</v>
      </c>
      <c r="AJ33" s="7">
        <f t="shared" si="17"/>
        <v>2056</v>
      </c>
      <c r="AK33" s="7">
        <f t="shared" si="17"/>
        <v>2057</v>
      </c>
      <c r="AL33" s="7">
        <f t="shared" si="17"/>
        <v>2058</v>
      </c>
      <c r="AM33" s="7">
        <f t="shared" si="17"/>
        <v>2059</v>
      </c>
      <c r="AN33" s="7">
        <f t="shared" si="17"/>
        <v>2060</v>
      </c>
      <c r="AO33" s="7">
        <f t="shared" si="17"/>
        <v>2061</v>
      </c>
      <c r="AP33" s="7">
        <f t="shared" si="17"/>
        <v>2062</v>
      </c>
      <c r="AQ33" s="7">
        <f t="shared" si="17"/>
        <v>2063</v>
      </c>
    </row>
    <row r="34" spans="2:43">
      <c r="B34" s="3" t="s">
        <v>276</v>
      </c>
      <c r="C34" s="216">
        <f>SUM(D34:AQ34)</f>
        <v>18593628.396832138</v>
      </c>
      <c r="D34" s="216">
        <f>'01 Investičné výdavky'!D30</f>
        <v>1484365.2921840784</v>
      </c>
      <c r="E34" s="216">
        <f>'01 Investičné výdavky'!E30</f>
        <v>9296814.1984160691</v>
      </c>
      <c r="F34" s="216">
        <f>'01 Investičné výdavky'!F30</f>
        <v>7812448.906231991</v>
      </c>
      <c r="G34" s="216"/>
      <c r="H34" s="216"/>
      <c r="I34" s="216"/>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6"/>
      <c r="AK34" s="216"/>
      <c r="AL34" s="216"/>
      <c r="AM34" s="216"/>
      <c r="AN34" s="216"/>
      <c r="AO34" s="216"/>
      <c r="AP34" s="216"/>
      <c r="AQ34" s="216"/>
    </row>
    <row r="35" spans="2:43">
      <c r="B35" s="3" t="s">
        <v>255</v>
      </c>
      <c r="C35" s="216">
        <f t="shared" ref="C35:C43" si="18">SUM(D35:AQ35)</f>
        <v>0</v>
      </c>
      <c r="D35" s="216">
        <f>D9</f>
        <v>0</v>
      </c>
      <c r="E35" s="216">
        <f t="shared" ref="E35:AF35" si="19">E9</f>
        <v>0</v>
      </c>
      <c r="F35" s="216">
        <f t="shared" si="19"/>
        <v>0</v>
      </c>
      <c r="G35" s="216">
        <f t="shared" si="19"/>
        <v>0</v>
      </c>
      <c r="H35" s="216">
        <f t="shared" si="19"/>
        <v>0</v>
      </c>
      <c r="I35" s="216">
        <f t="shared" si="19"/>
        <v>0</v>
      </c>
      <c r="J35" s="216">
        <f t="shared" si="19"/>
        <v>0</v>
      </c>
      <c r="K35" s="216">
        <f t="shared" si="19"/>
        <v>0</v>
      </c>
      <c r="L35" s="216">
        <f t="shared" si="19"/>
        <v>0</v>
      </c>
      <c r="M35" s="216">
        <f t="shared" si="19"/>
        <v>0</v>
      </c>
      <c r="N35" s="216">
        <f t="shared" si="19"/>
        <v>0</v>
      </c>
      <c r="O35" s="216">
        <f t="shared" si="19"/>
        <v>0</v>
      </c>
      <c r="P35" s="216">
        <f t="shared" si="19"/>
        <v>0</v>
      </c>
      <c r="Q35" s="216">
        <f t="shared" si="19"/>
        <v>0</v>
      </c>
      <c r="R35" s="216">
        <f t="shared" si="19"/>
        <v>0</v>
      </c>
      <c r="S35" s="216">
        <f t="shared" si="19"/>
        <v>0</v>
      </c>
      <c r="T35" s="216">
        <f t="shared" si="19"/>
        <v>0</v>
      </c>
      <c r="U35" s="216">
        <f t="shared" si="19"/>
        <v>0</v>
      </c>
      <c r="V35" s="216">
        <f t="shared" si="19"/>
        <v>0</v>
      </c>
      <c r="W35" s="216">
        <f t="shared" si="19"/>
        <v>0</v>
      </c>
      <c r="X35" s="216">
        <f t="shared" si="19"/>
        <v>0</v>
      </c>
      <c r="Y35" s="216">
        <f t="shared" si="19"/>
        <v>0</v>
      </c>
      <c r="Z35" s="216">
        <f t="shared" si="19"/>
        <v>0</v>
      </c>
      <c r="AA35" s="216">
        <f t="shared" si="19"/>
        <v>0</v>
      </c>
      <c r="AB35" s="216">
        <f t="shared" si="19"/>
        <v>0</v>
      </c>
      <c r="AC35" s="216">
        <f t="shared" si="19"/>
        <v>0</v>
      </c>
      <c r="AD35" s="216">
        <f t="shared" si="19"/>
        <v>0</v>
      </c>
      <c r="AE35" s="216">
        <f t="shared" si="19"/>
        <v>0</v>
      </c>
      <c r="AF35" s="216">
        <f t="shared" si="19"/>
        <v>0</v>
      </c>
      <c r="AG35" s="216">
        <f t="shared" ref="AG35:AQ35" si="20">AG9</f>
        <v>0</v>
      </c>
      <c r="AH35" s="216">
        <f t="shared" si="20"/>
        <v>0</v>
      </c>
      <c r="AI35" s="216">
        <f t="shared" si="20"/>
        <v>0</v>
      </c>
      <c r="AJ35" s="216">
        <f t="shared" si="20"/>
        <v>0</v>
      </c>
      <c r="AK35" s="216">
        <f t="shared" si="20"/>
        <v>0</v>
      </c>
      <c r="AL35" s="216">
        <f t="shared" si="20"/>
        <v>0</v>
      </c>
      <c r="AM35" s="216">
        <f t="shared" si="20"/>
        <v>0</v>
      </c>
      <c r="AN35" s="216">
        <f t="shared" si="20"/>
        <v>0</v>
      </c>
      <c r="AO35" s="216">
        <f t="shared" si="20"/>
        <v>0</v>
      </c>
      <c r="AP35" s="216">
        <f t="shared" si="20"/>
        <v>0</v>
      </c>
      <c r="AQ35" s="216">
        <f t="shared" si="20"/>
        <v>0</v>
      </c>
    </row>
    <row r="36" spans="2:43">
      <c r="B36" s="4" t="s">
        <v>10</v>
      </c>
      <c r="C36" s="218">
        <f t="shared" si="18"/>
        <v>18593628.396832138</v>
      </c>
      <c r="D36" s="218">
        <f t="shared" ref="D36:AF36" si="21">SUM(D34:D35)</f>
        <v>1484365.2921840784</v>
      </c>
      <c r="E36" s="218">
        <f t="shared" si="21"/>
        <v>9296814.1984160691</v>
      </c>
      <c r="F36" s="218">
        <f t="shared" si="21"/>
        <v>7812448.906231991</v>
      </c>
      <c r="G36" s="218">
        <f t="shared" si="21"/>
        <v>0</v>
      </c>
      <c r="H36" s="218">
        <f t="shared" si="21"/>
        <v>0</v>
      </c>
      <c r="I36" s="218">
        <f t="shared" si="21"/>
        <v>0</v>
      </c>
      <c r="J36" s="218">
        <f t="shared" si="21"/>
        <v>0</v>
      </c>
      <c r="K36" s="218">
        <f t="shared" si="21"/>
        <v>0</v>
      </c>
      <c r="L36" s="218">
        <f t="shared" si="21"/>
        <v>0</v>
      </c>
      <c r="M36" s="218">
        <f t="shared" si="21"/>
        <v>0</v>
      </c>
      <c r="N36" s="218">
        <f t="shared" si="21"/>
        <v>0</v>
      </c>
      <c r="O36" s="218">
        <f t="shared" si="21"/>
        <v>0</v>
      </c>
      <c r="P36" s="218">
        <f t="shared" si="21"/>
        <v>0</v>
      </c>
      <c r="Q36" s="218">
        <f t="shared" si="21"/>
        <v>0</v>
      </c>
      <c r="R36" s="218">
        <f t="shared" si="21"/>
        <v>0</v>
      </c>
      <c r="S36" s="218">
        <f t="shared" si="21"/>
        <v>0</v>
      </c>
      <c r="T36" s="218">
        <f t="shared" si="21"/>
        <v>0</v>
      </c>
      <c r="U36" s="218">
        <f t="shared" si="21"/>
        <v>0</v>
      </c>
      <c r="V36" s="218">
        <f t="shared" si="21"/>
        <v>0</v>
      </c>
      <c r="W36" s="218">
        <f t="shared" si="21"/>
        <v>0</v>
      </c>
      <c r="X36" s="218">
        <f t="shared" si="21"/>
        <v>0</v>
      </c>
      <c r="Y36" s="218">
        <f t="shared" si="21"/>
        <v>0</v>
      </c>
      <c r="Z36" s="218">
        <f t="shared" si="21"/>
        <v>0</v>
      </c>
      <c r="AA36" s="218">
        <f t="shared" si="21"/>
        <v>0</v>
      </c>
      <c r="AB36" s="218">
        <f t="shared" si="21"/>
        <v>0</v>
      </c>
      <c r="AC36" s="218">
        <f t="shared" si="21"/>
        <v>0</v>
      </c>
      <c r="AD36" s="218">
        <f t="shared" si="21"/>
        <v>0</v>
      </c>
      <c r="AE36" s="218">
        <f t="shared" si="21"/>
        <v>0</v>
      </c>
      <c r="AF36" s="218">
        <f t="shared" si="21"/>
        <v>0</v>
      </c>
      <c r="AG36" s="218">
        <f t="shared" ref="AG36:AQ36" si="22">SUM(AG34:AG35)</f>
        <v>0</v>
      </c>
      <c r="AH36" s="218">
        <f t="shared" si="22"/>
        <v>0</v>
      </c>
      <c r="AI36" s="218">
        <f t="shared" si="22"/>
        <v>0</v>
      </c>
      <c r="AJ36" s="218">
        <f t="shared" si="22"/>
        <v>0</v>
      </c>
      <c r="AK36" s="218">
        <f t="shared" si="22"/>
        <v>0</v>
      </c>
      <c r="AL36" s="218">
        <f t="shared" si="22"/>
        <v>0</v>
      </c>
      <c r="AM36" s="218">
        <f t="shared" si="22"/>
        <v>0</v>
      </c>
      <c r="AN36" s="218">
        <f t="shared" si="22"/>
        <v>0</v>
      </c>
      <c r="AO36" s="218">
        <f t="shared" si="22"/>
        <v>0</v>
      </c>
      <c r="AP36" s="218">
        <f t="shared" si="22"/>
        <v>0</v>
      </c>
      <c r="AQ36" s="218">
        <f t="shared" si="22"/>
        <v>0</v>
      </c>
    </row>
    <row r="37" spans="2:43">
      <c r="B37" s="3" t="s">
        <v>74</v>
      </c>
      <c r="C37" s="216">
        <f t="shared" si="18"/>
        <v>34218526.209296122</v>
      </c>
      <c r="D37" s="216">
        <f>D7</f>
        <v>1484365.2921840784</v>
      </c>
      <c r="E37" s="216">
        <f t="shared" ref="E37:H37" si="23">E7</f>
        <v>9296814.1984160691</v>
      </c>
      <c r="F37" s="216">
        <f t="shared" si="23"/>
        <v>7812448.906231991</v>
      </c>
      <c r="G37" s="216">
        <f t="shared" si="23"/>
        <v>15624897.812463982</v>
      </c>
      <c r="H37" s="216">
        <f t="shared" si="23"/>
        <v>0</v>
      </c>
      <c r="I37" s="216"/>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16"/>
      <c r="AI37" s="216"/>
      <c r="AJ37" s="216"/>
      <c r="AK37" s="216"/>
      <c r="AL37" s="216"/>
      <c r="AM37" s="216"/>
      <c r="AN37" s="216"/>
      <c r="AO37" s="216"/>
      <c r="AP37" s="216"/>
      <c r="AQ37" s="216"/>
    </row>
    <row r="38" spans="2:43">
      <c r="B38" s="3" t="s">
        <v>73</v>
      </c>
      <c r="C38" s="216">
        <f t="shared" si="18"/>
        <v>-59488966.515744597</v>
      </c>
      <c r="D38" s="216">
        <f>D8</f>
        <v>0</v>
      </c>
      <c r="E38" s="216">
        <f t="shared" ref="E38:AF38" si="24">E8</f>
        <v>0</v>
      </c>
      <c r="F38" s="216">
        <f t="shared" si="24"/>
        <v>0</v>
      </c>
      <c r="G38" s="216">
        <f t="shared" si="24"/>
        <v>-556777.61025022762</v>
      </c>
      <c r="H38" s="216">
        <f t="shared" si="24"/>
        <v>-1918766.4534776006</v>
      </c>
      <c r="I38" s="216">
        <f t="shared" si="24"/>
        <v>-1918766.4534776006</v>
      </c>
      <c r="J38" s="216">
        <f t="shared" si="24"/>
        <v>-1918766.4534776006</v>
      </c>
      <c r="K38" s="216">
        <f t="shared" si="24"/>
        <v>-1918766.4534776006</v>
      </c>
      <c r="L38" s="216">
        <f t="shared" si="24"/>
        <v>-1918766.4534776006</v>
      </c>
      <c r="M38" s="216">
        <f t="shared" si="24"/>
        <v>-1918766.4534776006</v>
      </c>
      <c r="N38" s="216">
        <f t="shared" si="24"/>
        <v>-1918766.4534776006</v>
      </c>
      <c r="O38" s="216">
        <f t="shared" si="24"/>
        <v>-1918766.4534776006</v>
      </c>
      <c r="P38" s="216">
        <f t="shared" si="24"/>
        <v>-1918766.4534776006</v>
      </c>
      <c r="Q38" s="216">
        <f t="shared" si="24"/>
        <v>-1918766.4534776006</v>
      </c>
      <c r="R38" s="216">
        <f t="shared" si="24"/>
        <v>-1918766.4534776006</v>
      </c>
      <c r="S38" s="216">
        <f t="shared" si="24"/>
        <v>-1918766.4534776006</v>
      </c>
      <c r="T38" s="216">
        <f t="shared" si="24"/>
        <v>-1918766.4534776006</v>
      </c>
      <c r="U38" s="216">
        <f t="shared" si="24"/>
        <v>-1918766.4534776006</v>
      </c>
      <c r="V38" s="216">
        <f t="shared" si="24"/>
        <v>-1918766.4534776006</v>
      </c>
      <c r="W38" s="216">
        <f t="shared" si="24"/>
        <v>-1918766.4534776006</v>
      </c>
      <c r="X38" s="216">
        <f t="shared" si="24"/>
        <v>-1918766.4534776006</v>
      </c>
      <c r="Y38" s="216">
        <f t="shared" si="24"/>
        <v>-1918766.4534776006</v>
      </c>
      <c r="Z38" s="216">
        <f t="shared" si="24"/>
        <v>-1918766.4534776006</v>
      </c>
      <c r="AA38" s="216">
        <f t="shared" si="24"/>
        <v>5055271.4219837636</v>
      </c>
      <c r="AB38" s="216">
        <f t="shared" si="24"/>
        <v>-1918766.4534776006</v>
      </c>
      <c r="AC38" s="216">
        <f t="shared" si="24"/>
        <v>-1918766.4534776006</v>
      </c>
      <c r="AD38" s="216">
        <f t="shared" si="24"/>
        <v>-1918766.4534776006</v>
      </c>
      <c r="AE38" s="216">
        <f t="shared" si="24"/>
        <v>-1918766.4534776006</v>
      </c>
      <c r="AF38" s="216">
        <f t="shared" si="24"/>
        <v>-1918766.4534776006</v>
      </c>
      <c r="AG38" s="216">
        <f t="shared" ref="AG38:AQ38" si="25">AG8</f>
        <v>-1918766.4534776006</v>
      </c>
      <c r="AH38" s="216">
        <f t="shared" si="25"/>
        <v>-1918766.4534776006</v>
      </c>
      <c r="AI38" s="216">
        <f t="shared" si="25"/>
        <v>-1918766.4534776006</v>
      </c>
      <c r="AJ38" s="216">
        <f t="shared" si="25"/>
        <v>-1918766.4534776006</v>
      </c>
      <c r="AK38" s="216">
        <f t="shared" si="25"/>
        <v>1250599.0907602352</v>
      </c>
      <c r="AL38" s="216">
        <f t="shared" si="25"/>
        <v>-1918766.4534776006</v>
      </c>
      <c r="AM38" s="216">
        <f t="shared" si="25"/>
        <v>-1918766.4534776006</v>
      </c>
      <c r="AN38" s="216">
        <f t="shared" si="25"/>
        <v>-1918766.4534776006</v>
      </c>
      <c r="AO38" s="216">
        <f t="shared" si="25"/>
        <v>-1918766.4534776006</v>
      </c>
      <c r="AP38" s="216">
        <f t="shared" si="25"/>
        <v>-1918766.4534776006</v>
      </c>
      <c r="AQ38" s="216">
        <f t="shared" si="25"/>
        <v>-1918766.4534776006</v>
      </c>
    </row>
    <row r="39" spans="2:43">
      <c r="B39" s="3" t="s">
        <v>263</v>
      </c>
      <c r="C39" s="216">
        <f t="shared" si="18"/>
        <v>0</v>
      </c>
      <c r="D39" s="216">
        <f>D22</f>
        <v>0</v>
      </c>
      <c r="E39" s="216">
        <f t="shared" ref="E39:AF39" si="26">E22</f>
        <v>0</v>
      </c>
      <c r="F39" s="216">
        <f t="shared" si="26"/>
        <v>0</v>
      </c>
      <c r="G39" s="216">
        <f t="shared" si="26"/>
        <v>0</v>
      </c>
      <c r="H39" s="216">
        <f t="shared" si="26"/>
        <v>0</v>
      </c>
      <c r="I39" s="216">
        <f t="shared" si="26"/>
        <v>0</v>
      </c>
      <c r="J39" s="216">
        <f t="shared" si="26"/>
        <v>0</v>
      </c>
      <c r="K39" s="216">
        <f t="shared" si="26"/>
        <v>0</v>
      </c>
      <c r="L39" s="216">
        <f t="shared" si="26"/>
        <v>0</v>
      </c>
      <c r="M39" s="216">
        <f t="shared" si="26"/>
        <v>0</v>
      </c>
      <c r="N39" s="216">
        <f t="shared" si="26"/>
        <v>0</v>
      </c>
      <c r="O39" s="216">
        <f t="shared" si="26"/>
        <v>0</v>
      </c>
      <c r="P39" s="216">
        <f t="shared" si="26"/>
        <v>0</v>
      </c>
      <c r="Q39" s="216">
        <f t="shared" si="26"/>
        <v>0</v>
      </c>
      <c r="R39" s="216">
        <f t="shared" si="26"/>
        <v>0</v>
      </c>
      <c r="S39" s="216">
        <f t="shared" si="26"/>
        <v>0</v>
      </c>
      <c r="T39" s="216">
        <f t="shared" si="26"/>
        <v>0</v>
      </c>
      <c r="U39" s="216">
        <f t="shared" si="26"/>
        <v>0</v>
      </c>
      <c r="V39" s="216">
        <f t="shared" si="26"/>
        <v>0</v>
      </c>
      <c r="W39" s="216">
        <f t="shared" si="26"/>
        <v>0</v>
      </c>
      <c r="X39" s="216">
        <f t="shared" si="26"/>
        <v>0</v>
      </c>
      <c r="Y39" s="216">
        <f t="shared" si="26"/>
        <v>0</v>
      </c>
      <c r="Z39" s="216">
        <f t="shared" si="26"/>
        <v>0</v>
      </c>
      <c r="AA39" s="216">
        <f t="shared" si="26"/>
        <v>0</v>
      </c>
      <c r="AB39" s="216">
        <f t="shared" si="26"/>
        <v>0</v>
      </c>
      <c r="AC39" s="216">
        <f t="shared" si="26"/>
        <v>0</v>
      </c>
      <c r="AD39" s="216">
        <f t="shared" si="26"/>
        <v>0</v>
      </c>
      <c r="AE39" s="216">
        <f t="shared" si="26"/>
        <v>0</v>
      </c>
      <c r="AF39" s="216">
        <f t="shared" si="26"/>
        <v>0</v>
      </c>
      <c r="AG39" s="216">
        <f t="shared" ref="AG39:AQ39" si="27">AG22</f>
        <v>0</v>
      </c>
      <c r="AH39" s="216">
        <f t="shared" si="27"/>
        <v>0</v>
      </c>
      <c r="AI39" s="216">
        <f t="shared" si="27"/>
        <v>0</v>
      </c>
      <c r="AJ39" s="216">
        <f t="shared" si="27"/>
        <v>0</v>
      </c>
      <c r="AK39" s="216">
        <f t="shared" si="27"/>
        <v>0</v>
      </c>
      <c r="AL39" s="216">
        <f t="shared" si="27"/>
        <v>0</v>
      </c>
      <c r="AM39" s="216">
        <f t="shared" si="27"/>
        <v>0</v>
      </c>
      <c r="AN39" s="216">
        <f t="shared" si="27"/>
        <v>0</v>
      </c>
      <c r="AO39" s="216">
        <f t="shared" si="27"/>
        <v>0</v>
      </c>
      <c r="AP39" s="216">
        <f t="shared" si="27"/>
        <v>0</v>
      </c>
      <c r="AQ39" s="216">
        <f t="shared" si="27"/>
        <v>0</v>
      </c>
    </row>
    <row r="40" spans="2:43">
      <c r="B40" s="4" t="s">
        <v>25</v>
      </c>
      <c r="C40" s="218">
        <f t="shared" si="18"/>
        <v>-25270440.306448504</v>
      </c>
      <c r="D40" s="218">
        <f>SUM(D37:D39)</f>
        <v>1484365.2921840784</v>
      </c>
      <c r="E40" s="218">
        <f t="shared" ref="E40:AF40" si="28">SUM(E37:E39)</f>
        <v>9296814.1984160691</v>
      </c>
      <c r="F40" s="218">
        <f t="shared" si="28"/>
        <v>7812448.906231991</v>
      </c>
      <c r="G40" s="218">
        <f t="shared" si="28"/>
        <v>15068120.202213755</v>
      </c>
      <c r="H40" s="218">
        <f t="shared" si="28"/>
        <v>-1918766.4534776006</v>
      </c>
      <c r="I40" s="218">
        <f t="shared" si="28"/>
        <v>-1918766.4534776006</v>
      </c>
      <c r="J40" s="218">
        <f t="shared" si="28"/>
        <v>-1918766.4534776006</v>
      </c>
      <c r="K40" s="218">
        <f t="shared" si="28"/>
        <v>-1918766.4534776006</v>
      </c>
      <c r="L40" s="218">
        <f t="shared" si="28"/>
        <v>-1918766.4534776006</v>
      </c>
      <c r="M40" s="218">
        <f t="shared" si="28"/>
        <v>-1918766.4534776006</v>
      </c>
      <c r="N40" s="218">
        <f t="shared" si="28"/>
        <v>-1918766.4534776006</v>
      </c>
      <c r="O40" s="218">
        <f t="shared" si="28"/>
        <v>-1918766.4534776006</v>
      </c>
      <c r="P40" s="218">
        <f t="shared" si="28"/>
        <v>-1918766.4534776006</v>
      </c>
      <c r="Q40" s="218">
        <f t="shared" si="28"/>
        <v>-1918766.4534776006</v>
      </c>
      <c r="R40" s="218">
        <f t="shared" si="28"/>
        <v>-1918766.4534776006</v>
      </c>
      <c r="S40" s="218">
        <f t="shared" si="28"/>
        <v>-1918766.4534776006</v>
      </c>
      <c r="T40" s="218">
        <f t="shared" si="28"/>
        <v>-1918766.4534776006</v>
      </c>
      <c r="U40" s="218">
        <f t="shared" si="28"/>
        <v>-1918766.4534776006</v>
      </c>
      <c r="V40" s="218">
        <f t="shared" si="28"/>
        <v>-1918766.4534776006</v>
      </c>
      <c r="W40" s="218">
        <f t="shared" si="28"/>
        <v>-1918766.4534776006</v>
      </c>
      <c r="X40" s="218">
        <f t="shared" si="28"/>
        <v>-1918766.4534776006</v>
      </c>
      <c r="Y40" s="218">
        <f t="shared" si="28"/>
        <v>-1918766.4534776006</v>
      </c>
      <c r="Z40" s="218">
        <f t="shared" si="28"/>
        <v>-1918766.4534776006</v>
      </c>
      <c r="AA40" s="218">
        <f t="shared" si="28"/>
        <v>5055271.4219837636</v>
      </c>
      <c r="AB40" s="218">
        <f t="shared" si="28"/>
        <v>-1918766.4534776006</v>
      </c>
      <c r="AC40" s="218">
        <f t="shared" si="28"/>
        <v>-1918766.4534776006</v>
      </c>
      <c r="AD40" s="218">
        <f t="shared" si="28"/>
        <v>-1918766.4534776006</v>
      </c>
      <c r="AE40" s="218">
        <f t="shared" si="28"/>
        <v>-1918766.4534776006</v>
      </c>
      <c r="AF40" s="218">
        <f t="shared" si="28"/>
        <v>-1918766.4534776006</v>
      </c>
      <c r="AG40" s="218">
        <f t="shared" ref="AG40:AQ40" si="29">SUM(AG37:AG39)</f>
        <v>-1918766.4534776006</v>
      </c>
      <c r="AH40" s="218">
        <f t="shared" si="29"/>
        <v>-1918766.4534776006</v>
      </c>
      <c r="AI40" s="218">
        <f t="shared" si="29"/>
        <v>-1918766.4534776006</v>
      </c>
      <c r="AJ40" s="218">
        <f t="shared" si="29"/>
        <v>-1918766.4534776006</v>
      </c>
      <c r="AK40" s="218">
        <f t="shared" si="29"/>
        <v>1250599.0907602352</v>
      </c>
      <c r="AL40" s="218">
        <f t="shared" si="29"/>
        <v>-1918766.4534776006</v>
      </c>
      <c r="AM40" s="218">
        <f t="shared" si="29"/>
        <v>-1918766.4534776006</v>
      </c>
      <c r="AN40" s="218">
        <f t="shared" si="29"/>
        <v>-1918766.4534776006</v>
      </c>
      <c r="AO40" s="218">
        <f t="shared" si="29"/>
        <v>-1918766.4534776006</v>
      </c>
      <c r="AP40" s="218">
        <f t="shared" si="29"/>
        <v>-1918766.4534776006</v>
      </c>
      <c r="AQ40" s="218">
        <f t="shared" si="29"/>
        <v>-1918766.4534776006</v>
      </c>
    </row>
    <row r="41" spans="2:43">
      <c r="B41" s="140" t="s">
        <v>60</v>
      </c>
      <c r="C41" s="219">
        <f t="shared" si="18"/>
        <v>43864068.703280643</v>
      </c>
      <c r="D41" s="219">
        <f>D36-D40</f>
        <v>0</v>
      </c>
      <c r="E41" s="219">
        <f t="shared" ref="E41:AF41" si="30">E36-E40</f>
        <v>0</v>
      </c>
      <c r="F41" s="219">
        <f t="shared" si="30"/>
        <v>0</v>
      </c>
      <c r="G41" s="219">
        <f t="shared" si="30"/>
        <v>-15068120.202213755</v>
      </c>
      <c r="H41" s="219">
        <f t="shared" si="30"/>
        <v>1918766.4534776006</v>
      </c>
      <c r="I41" s="219">
        <f t="shared" si="30"/>
        <v>1918766.4534776006</v>
      </c>
      <c r="J41" s="219">
        <f t="shared" si="30"/>
        <v>1918766.4534776006</v>
      </c>
      <c r="K41" s="219">
        <f t="shared" si="30"/>
        <v>1918766.4534776006</v>
      </c>
      <c r="L41" s="219">
        <f t="shared" si="30"/>
        <v>1918766.4534776006</v>
      </c>
      <c r="M41" s="219">
        <f t="shared" si="30"/>
        <v>1918766.4534776006</v>
      </c>
      <c r="N41" s="219">
        <f t="shared" si="30"/>
        <v>1918766.4534776006</v>
      </c>
      <c r="O41" s="219">
        <f t="shared" si="30"/>
        <v>1918766.4534776006</v>
      </c>
      <c r="P41" s="219">
        <f t="shared" si="30"/>
        <v>1918766.4534776006</v>
      </c>
      <c r="Q41" s="219">
        <f t="shared" si="30"/>
        <v>1918766.4534776006</v>
      </c>
      <c r="R41" s="219">
        <f t="shared" si="30"/>
        <v>1918766.4534776006</v>
      </c>
      <c r="S41" s="219">
        <f t="shared" si="30"/>
        <v>1918766.4534776006</v>
      </c>
      <c r="T41" s="219">
        <f t="shared" si="30"/>
        <v>1918766.4534776006</v>
      </c>
      <c r="U41" s="219">
        <f t="shared" si="30"/>
        <v>1918766.4534776006</v>
      </c>
      <c r="V41" s="219">
        <f t="shared" si="30"/>
        <v>1918766.4534776006</v>
      </c>
      <c r="W41" s="219">
        <f t="shared" si="30"/>
        <v>1918766.4534776006</v>
      </c>
      <c r="X41" s="219">
        <f t="shared" si="30"/>
        <v>1918766.4534776006</v>
      </c>
      <c r="Y41" s="219">
        <f t="shared" si="30"/>
        <v>1918766.4534776006</v>
      </c>
      <c r="Z41" s="219">
        <f t="shared" si="30"/>
        <v>1918766.4534776006</v>
      </c>
      <c r="AA41" s="219">
        <f t="shared" si="30"/>
        <v>-5055271.4219837636</v>
      </c>
      <c r="AB41" s="219">
        <f t="shared" si="30"/>
        <v>1918766.4534776006</v>
      </c>
      <c r="AC41" s="219">
        <f t="shared" si="30"/>
        <v>1918766.4534776006</v>
      </c>
      <c r="AD41" s="219">
        <f t="shared" si="30"/>
        <v>1918766.4534776006</v>
      </c>
      <c r="AE41" s="219">
        <f t="shared" si="30"/>
        <v>1918766.4534776006</v>
      </c>
      <c r="AF41" s="219">
        <f t="shared" si="30"/>
        <v>1918766.4534776006</v>
      </c>
      <c r="AG41" s="219">
        <f t="shared" ref="AG41:AQ41" si="31">AG36-AG40</f>
        <v>1918766.4534776006</v>
      </c>
      <c r="AH41" s="219">
        <f t="shared" si="31"/>
        <v>1918766.4534776006</v>
      </c>
      <c r="AI41" s="219">
        <f t="shared" si="31"/>
        <v>1918766.4534776006</v>
      </c>
      <c r="AJ41" s="219">
        <f t="shared" si="31"/>
        <v>1918766.4534776006</v>
      </c>
      <c r="AK41" s="219">
        <f t="shared" si="31"/>
        <v>-1250599.0907602352</v>
      </c>
      <c r="AL41" s="219">
        <f t="shared" si="31"/>
        <v>1918766.4534776006</v>
      </c>
      <c r="AM41" s="219">
        <f t="shared" si="31"/>
        <v>1918766.4534776006</v>
      </c>
      <c r="AN41" s="219">
        <f t="shared" si="31"/>
        <v>1918766.4534776006</v>
      </c>
      <c r="AO41" s="219">
        <f t="shared" si="31"/>
        <v>1918766.4534776006</v>
      </c>
      <c r="AP41" s="219">
        <f t="shared" si="31"/>
        <v>1918766.4534776006</v>
      </c>
      <c r="AQ41" s="219">
        <f t="shared" si="31"/>
        <v>1918766.4534776006</v>
      </c>
    </row>
    <row r="42" spans="2:43">
      <c r="B42" s="3" t="s">
        <v>26</v>
      </c>
      <c r="C42" s="218"/>
      <c r="D42" s="216">
        <f>D41</f>
        <v>0</v>
      </c>
      <c r="E42" s="216">
        <f>D42+E41</f>
        <v>0</v>
      </c>
      <c r="F42" s="216">
        <f>E42+F41</f>
        <v>0</v>
      </c>
      <c r="G42" s="216">
        <f t="shared" ref="G42:AF42" si="32">F42+G41</f>
        <v>-15068120.202213755</v>
      </c>
      <c r="H42" s="216">
        <f>G42+H41</f>
        <v>-13149353.748736154</v>
      </c>
      <c r="I42" s="216">
        <f t="shared" si="32"/>
        <v>-11230587.295258554</v>
      </c>
      <c r="J42" s="216">
        <f t="shared" si="32"/>
        <v>-9311820.8417809531</v>
      </c>
      <c r="K42" s="216">
        <f t="shared" si="32"/>
        <v>-7393054.3883033525</v>
      </c>
      <c r="L42" s="216">
        <f t="shared" si="32"/>
        <v>-5474287.9348257519</v>
      </c>
      <c r="M42" s="216">
        <f t="shared" si="32"/>
        <v>-3555521.4813481513</v>
      </c>
      <c r="N42" s="216">
        <f t="shared" si="32"/>
        <v>-1636755.0278705508</v>
      </c>
      <c r="O42" s="216">
        <f t="shared" si="32"/>
        <v>282011.42560704984</v>
      </c>
      <c r="P42" s="216">
        <f t="shared" si="32"/>
        <v>2200777.8790846504</v>
      </c>
      <c r="Q42" s="216">
        <f t="shared" si="32"/>
        <v>4119544.332562251</v>
      </c>
      <c r="R42" s="216">
        <f t="shared" si="32"/>
        <v>6038310.7860398516</v>
      </c>
      <c r="S42" s="216">
        <f t="shared" si="32"/>
        <v>7957077.2395174522</v>
      </c>
      <c r="T42" s="216">
        <f t="shared" si="32"/>
        <v>9875843.6929950528</v>
      </c>
      <c r="U42" s="216">
        <f t="shared" si="32"/>
        <v>11794610.146472653</v>
      </c>
      <c r="V42" s="216">
        <f t="shared" si="32"/>
        <v>13713376.599950254</v>
      </c>
      <c r="W42" s="216">
        <f t="shared" si="32"/>
        <v>15632143.053427855</v>
      </c>
      <c r="X42" s="216">
        <f t="shared" si="32"/>
        <v>17550909.506905455</v>
      </c>
      <c r="Y42" s="216">
        <f t="shared" si="32"/>
        <v>19469675.960383058</v>
      </c>
      <c r="Z42" s="216">
        <f t="shared" si="32"/>
        <v>21388442.413860656</v>
      </c>
      <c r="AA42" s="216">
        <f t="shared" si="32"/>
        <v>16333170.991876893</v>
      </c>
      <c r="AB42" s="216">
        <f t="shared" si="32"/>
        <v>18251937.445354491</v>
      </c>
      <c r="AC42" s="216">
        <f t="shared" si="32"/>
        <v>20170703.89883209</v>
      </c>
      <c r="AD42" s="216">
        <f t="shared" si="32"/>
        <v>22089470.352309689</v>
      </c>
      <c r="AE42" s="216">
        <f t="shared" si="32"/>
        <v>24008236.805787288</v>
      </c>
      <c r="AF42" s="216">
        <f t="shared" si="32"/>
        <v>25927003.259264886</v>
      </c>
      <c r="AG42" s="216">
        <f t="shared" ref="AG42" si="33">AF42+AG41</f>
        <v>27845769.712742485</v>
      </c>
      <c r="AH42" s="216">
        <f t="shared" ref="AH42" si="34">AG42+AH41</f>
        <v>29764536.166220084</v>
      </c>
      <c r="AI42" s="216">
        <f t="shared" ref="AI42" si="35">AH42+AI41</f>
        <v>31683302.619697683</v>
      </c>
      <c r="AJ42" s="216">
        <f t="shared" ref="AJ42" si="36">AI42+AJ41</f>
        <v>33602069.073175281</v>
      </c>
      <c r="AK42" s="216">
        <f t="shared" ref="AK42" si="37">AJ42+AK41</f>
        <v>32351469.982415047</v>
      </c>
      <c r="AL42" s="216">
        <f t="shared" ref="AL42" si="38">AK42+AL41</f>
        <v>34270236.435892649</v>
      </c>
      <c r="AM42" s="216">
        <f t="shared" ref="AM42" si="39">AL42+AM41</f>
        <v>36189002.889370248</v>
      </c>
      <c r="AN42" s="216">
        <f t="shared" ref="AN42" si="40">AM42+AN41</f>
        <v>38107769.342847846</v>
      </c>
      <c r="AO42" s="216">
        <f t="shared" ref="AO42" si="41">AN42+AO41</f>
        <v>40026535.796325445</v>
      </c>
      <c r="AP42" s="216">
        <f t="shared" ref="AP42" si="42">AO42+AP41</f>
        <v>41945302.249803044</v>
      </c>
      <c r="AQ42" s="216">
        <f t="shared" ref="AQ42" si="43">AP42+AQ41</f>
        <v>43864068.703280643</v>
      </c>
    </row>
    <row r="43" spans="2:43">
      <c r="B43" s="3" t="s">
        <v>278</v>
      </c>
      <c r="C43" s="218">
        <f t="shared" si="18"/>
        <v>-43864068.703280643</v>
      </c>
      <c r="D43" s="220">
        <f>-D41</f>
        <v>0</v>
      </c>
      <c r="E43" s="220">
        <f t="shared" ref="E43:AF43" si="44">-E41</f>
        <v>0</v>
      </c>
      <c r="F43" s="220">
        <f t="shared" si="44"/>
        <v>0</v>
      </c>
      <c r="G43" s="220">
        <f t="shared" si="44"/>
        <v>15068120.202213755</v>
      </c>
      <c r="H43" s="220">
        <f t="shared" si="44"/>
        <v>-1918766.4534776006</v>
      </c>
      <c r="I43" s="220">
        <f t="shared" si="44"/>
        <v>-1918766.4534776006</v>
      </c>
      <c r="J43" s="220">
        <f t="shared" si="44"/>
        <v>-1918766.4534776006</v>
      </c>
      <c r="K43" s="220">
        <f t="shared" si="44"/>
        <v>-1918766.4534776006</v>
      </c>
      <c r="L43" s="220">
        <f t="shared" si="44"/>
        <v>-1918766.4534776006</v>
      </c>
      <c r="M43" s="220">
        <f t="shared" si="44"/>
        <v>-1918766.4534776006</v>
      </c>
      <c r="N43" s="220">
        <f t="shared" si="44"/>
        <v>-1918766.4534776006</v>
      </c>
      <c r="O43" s="220">
        <f t="shared" si="44"/>
        <v>-1918766.4534776006</v>
      </c>
      <c r="P43" s="220">
        <f t="shared" si="44"/>
        <v>-1918766.4534776006</v>
      </c>
      <c r="Q43" s="220">
        <f t="shared" si="44"/>
        <v>-1918766.4534776006</v>
      </c>
      <c r="R43" s="220">
        <f t="shared" si="44"/>
        <v>-1918766.4534776006</v>
      </c>
      <c r="S43" s="220">
        <f t="shared" si="44"/>
        <v>-1918766.4534776006</v>
      </c>
      <c r="T43" s="220">
        <f t="shared" si="44"/>
        <v>-1918766.4534776006</v>
      </c>
      <c r="U43" s="220">
        <f t="shared" si="44"/>
        <v>-1918766.4534776006</v>
      </c>
      <c r="V43" s="220">
        <f t="shared" si="44"/>
        <v>-1918766.4534776006</v>
      </c>
      <c r="W43" s="220">
        <f t="shared" si="44"/>
        <v>-1918766.4534776006</v>
      </c>
      <c r="X43" s="220">
        <f t="shared" si="44"/>
        <v>-1918766.4534776006</v>
      </c>
      <c r="Y43" s="220">
        <f t="shared" si="44"/>
        <v>-1918766.4534776006</v>
      </c>
      <c r="Z43" s="220">
        <f t="shared" si="44"/>
        <v>-1918766.4534776006</v>
      </c>
      <c r="AA43" s="220">
        <f t="shared" si="44"/>
        <v>5055271.4219837636</v>
      </c>
      <c r="AB43" s="220">
        <f t="shared" si="44"/>
        <v>-1918766.4534776006</v>
      </c>
      <c r="AC43" s="220">
        <f t="shared" si="44"/>
        <v>-1918766.4534776006</v>
      </c>
      <c r="AD43" s="220">
        <f t="shared" si="44"/>
        <v>-1918766.4534776006</v>
      </c>
      <c r="AE43" s="220">
        <f t="shared" si="44"/>
        <v>-1918766.4534776006</v>
      </c>
      <c r="AF43" s="220">
        <f t="shared" si="44"/>
        <v>-1918766.4534776006</v>
      </c>
      <c r="AG43" s="220">
        <f t="shared" ref="AG43:AQ43" si="45">-AG41</f>
        <v>-1918766.4534776006</v>
      </c>
      <c r="AH43" s="220">
        <f t="shared" si="45"/>
        <v>-1918766.4534776006</v>
      </c>
      <c r="AI43" s="220">
        <f t="shared" si="45"/>
        <v>-1918766.4534776006</v>
      </c>
      <c r="AJ43" s="220">
        <f t="shared" si="45"/>
        <v>-1918766.4534776006</v>
      </c>
      <c r="AK43" s="220">
        <f t="shared" si="45"/>
        <v>1250599.0907602352</v>
      </c>
      <c r="AL43" s="220">
        <f t="shared" si="45"/>
        <v>-1918766.4534776006</v>
      </c>
      <c r="AM43" s="220">
        <f t="shared" si="45"/>
        <v>-1918766.4534776006</v>
      </c>
      <c r="AN43" s="220">
        <f t="shared" si="45"/>
        <v>-1918766.4534776006</v>
      </c>
      <c r="AO43" s="220">
        <f t="shared" si="45"/>
        <v>-1918766.4534776006</v>
      </c>
      <c r="AP43" s="220">
        <f t="shared" si="45"/>
        <v>-1918766.4534776006</v>
      </c>
      <c r="AQ43" s="220">
        <f t="shared" si="45"/>
        <v>-1918766.4534776006</v>
      </c>
    </row>
    <row r="44" spans="2:43">
      <c r="B44" s="31" t="s">
        <v>279</v>
      </c>
      <c r="C44" s="221"/>
      <c r="D44" s="221">
        <f>D41+D43</f>
        <v>0</v>
      </c>
      <c r="E44" s="221">
        <f>D44+E41+E43</f>
        <v>0</v>
      </c>
      <c r="F44" s="221">
        <f t="shared" ref="F44:AF44" si="46">E44+F41+F43</f>
        <v>0</v>
      </c>
      <c r="G44" s="221">
        <f t="shared" si="46"/>
        <v>0</v>
      </c>
      <c r="H44" s="221">
        <f>G44+H41+H43</f>
        <v>0</v>
      </c>
      <c r="I44" s="221">
        <f t="shared" si="46"/>
        <v>0</v>
      </c>
      <c r="J44" s="221">
        <f t="shared" si="46"/>
        <v>0</v>
      </c>
      <c r="K44" s="221">
        <f t="shared" si="46"/>
        <v>0</v>
      </c>
      <c r="L44" s="221">
        <f t="shared" si="46"/>
        <v>0</v>
      </c>
      <c r="M44" s="221">
        <f t="shared" si="46"/>
        <v>0</v>
      </c>
      <c r="N44" s="221">
        <f t="shared" si="46"/>
        <v>0</v>
      </c>
      <c r="O44" s="221">
        <f t="shared" si="46"/>
        <v>0</v>
      </c>
      <c r="P44" s="221">
        <f t="shared" si="46"/>
        <v>0</v>
      </c>
      <c r="Q44" s="221">
        <f t="shared" si="46"/>
        <v>0</v>
      </c>
      <c r="R44" s="221">
        <f t="shared" si="46"/>
        <v>0</v>
      </c>
      <c r="S44" s="221">
        <f t="shared" si="46"/>
        <v>0</v>
      </c>
      <c r="T44" s="221">
        <f t="shared" si="46"/>
        <v>0</v>
      </c>
      <c r="U44" s="221">
        <f t="shared" si="46"/>
        <v>0</v>
      </c>
      <c r="V44" s="221">
        <f t="shared" si="46"/>
        <v>0</v>
      </c>
      <c r="W44" s="221">
        <f t="shared" si="46"/>
        <v>0</v>
      </c>
      <c r="X44" s="221">
        <f t="shared" si="46"/>
        <v>0</v>
      </c>
      <c r="Y44" s="221">
        <f t="shared" si="46"/>
        <v>0</v>
      </c>
      <c r="Z44" s="221">
        <f t="shared" si="46"/>
        <v>0</v>
      </c>
      <c r="AA44" s="221">
        <f t="shared" si="46"/>
        <v>0</v>
      </c>
      <c r="AB44" s="221">
        <f t="shared" si="46"/>
        <v>0</v>
      </c>
      <c r="AC44" s="221">
        <f t="shared" si="46"/>
        <v>0</v>
      </c>
      <c r="AD44" s="221">
        <f t="shared" si="46"/>
        <v>0</v>
      </c>
      <c r="AE44" s="221">
        <f t="shared" si="46"/>
        <v>0</v>
      </c>
      <c r="AF44" s="221">
        <f t="shared" si="46"/>
        <v>0</v>
      </c>
      <c r="AG44" s="221">
        <f t="shared" ref="AG44" si="47">AF44+AG41+AG43</f>
        <v>0</v>
      </c>
      <c r="AH44" s="221">
        <f t="shared" ref="AH44" si="48">AG44+AH41+AH43</f>
        <v>0</v>
      </c>
      <c r="AI44" s="221">
        <f t="shared" ref="AI44" si="49">AH44+AI41+AI43</f>
        <v>0</v>
      </c>
      <c r="AJ44" s="221">
        <f t="shared" ref="AJ44" si="50">AI44+AJ41+AJ43</f>
        <v>0</v>
      </c>
      <c r="AK44" s="221">
        <f t="shared" ref="AK44" si="51">AJ44+AK41+AK43</f>
        <v>0</v>
      </c>
      <c r="AL44" s="221">
        <f t="shared" ref="AL44" si="52">AK44+AL41+AL43</f>
        <v>0</v>
      </c>
      <c r="AM44" s="221">
        <f t="shared" ref="AM44" si="53">AL44+AM41+AM43</f>
        <v>0</v>
      </c>
      <c r="AN44" s="221">
        <f t="shared" ref="AN44" si="54">AM44+AN41+AN43</f>
        <v>0</v>
      </c>
      <c r="AO44" s="221">
        <f t="shared" ref="AO44" si="55">AN44+AO41+AO43</f>
        <v>0</v>
      </c>
      <c r="AP44" s="221">
        <f t="shared" ref="AP44" si="56">AO44+AP41+AP43</f>
        <v>0</v>
      </c>
      <c r="AQ44" s="221">
        <f t="shared" ref="AQ44" si="57">AP44+AQ41+AQ43</f>
        <v>0</v>
      </c>
    </row>
    <row r="47" spans="2:43">
      <c r="B47" s="15" t="s">
        <v>282</v>
      </c>
      <c r="C47" s="15"/>
      <c r="D47" s="3" t="s">
        <v>9</v>
      </c>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row>
    <row r="48" spans="2:43">
      <c r="B48" s="4"/>
      <c r="C48" s="4"/>
      <c r="D48" s="5">
        <v>1</v>
      </c>
      <c r="E48" s="5">
        <v>2</v>
      </c>
      <c r="F48" s="5">
        <v>3</v>
      </c>
      <c r="G48" s="5">
        <v>4</v>
      </c>
      <c r="H48" s="5">
        <v>5</v>
      </c>
      <c r="I48" s="5">
        <v>6</v>
      </c>
      <c r="J48" s="5">
        <v>7</v>
      </c>
      <c r="K48" s="5">
        <v>8</v>
      </c>
      <c r="L48" s="5">
        <v>9</v>
      </c>
      <c r="M48" s="5">
        <v>10</v>
      </c>
      <c r="N48" s="5">
        <v>11</v>
      </c>
      <c r="O48" s="5">
        <v>12</v>
      </c>
      <c r="P48" s="5">
        <v>13</v>
      </c>
      <c r="Q48" s="5">
        <v>14</v>
      </c>
      <c r="R48" s="5">
        <v>15</v>
      </c>
      <c r="S48" s="5">
        <v>16</v>
      </c>
      <c r="T48" s="5">
        <v>17</v>
      </c>
      <c r="U48" s="5">
        <v>18</v>
      </c>
      <c r="V48" s="5">
        <v>19</v>
      </c>
      <c r="W48" s="5">
        <v>20</v>
      </c>
      <c r="X48" s="5">
        <v>21</v>
      </c>
      <c r="Y48" s="5">
        <v>22</v>
      </c>
      <c r="Z48" s="5">
        <v>23</v>
      </c>
      <c r="AA48" s="5">
        <v>24</v>
      </c>
      <c r="AB48" s="5">
        <v>25</v>
      </c>
      <c r="AC48" s="5">
        <v>26</v>
      </c>
      <c r="AD48" s="5">
        <v>27</v>
      </c>
      <c r="AE48" s="5">
        <v>28</v>
      </c>
      <c r="AF48" s="5">
        <v>29</v>
      </c>
      <c r="AG48" s="5">
        <v>30</v>
      </c>
      <c r="AH48" s="5">
        <v>31</v>
      </c>
      <c r="AI48" s="5">
        <v>32</v>
      </c>
      <c r="AJ48" s="5">
        <v>33</v>
      </c>
      <c r="AK48" s="5">
        <v>34</v>
      </c>
      <c r="AL48" s="5">
        <v>35</v>
      </c>
      <c r="AM48" s="5">
        <v>36</v>
      </c>
      <c r="AN48" s="5">
        <v>37</v>
      </c>
      <c r="AO48" s="5">
        <v>38</v>
      </c>
      <c r="AP48" s="5">
        <v>39</v>
      </c>
      <c r="AQ48" s="5">
        <v>40</v>
      </c>
    </row>
    <row r="49" spans="2:43">
      <c r="B49" s="6" t="s">
        <v>50</v>
      </c>
      <c r="C49" s="132" t="s">
        <v>8</v>
      </c>
      <c r="D49" s="7">
        <f>D6</f>
        <v>2024</v>
      </c>
      <c r="E49" s="7">
        <f t="shared" ref="E49:AF49" si="58">E6</f>
        <v>2025</v>
      </c>
      <c r="F49" s="7">
        <f t="shared" si="58"/>
        <v>2026</v>
      </c>
      <c r="G49" s="7">
        <f t="shared" si="58"/>
        <v>2027</v>
      </c>
      <c r="H49" s="7">
        <f t="shared" si="58"/>
        <v>2028</v>
      </c>
      <c r="I49" s="7">
        <f t="shared" si="58"/>
        <v>2029</v>
      </c>
      <c r="J49" s="7">
        <f t="shared" si="58"/>
        <v>2030</v>
      </c>
      <c r="K49" s="7">
        <f t="shared" si="58"/>
        <v>2031</v>
      </c>
      <c r="L49" s="7">
        <f t="shared" si="58"/>
        <v>2032</v>
      </c>
      <c r="M49" s="7">
        <f t="shared" si="58"/>
        <v>2033</v>
      </c>
      <c r="N49" s="7">
        <f t="shared" si="58"/>
        <v>2034</v>
      </c>
      <c r="O49" s="7">
        <f t="shared" si="58"/>
        <v>2035</v>
      </c>
      <c r="P49" s="7">
        <f t="shared" si="58"/>
        <v>2036</v>
      </c>
      <c r="Q49" s="7">
        <f t="shared" si="58"/>
        <v>2037</v>
      </c>
      <c r="R49" s="7">
        <f t="shared" si="58"/>
        <v>2038</v>
      </c>
      <c r="S49" s="7">
        <f t="shared" si="58"/>
        <v>2039</v>
      </c>
      <c r="T49" s="7">
        <f t="shared" si="58"/>
        <v>2040</v>
      </c>
      <c r="U49" s="7">
        <f t="shared" si="58"/>
        <v>2041</v>
      </c>
      <c r="V49" s="7">
        <f t="shared" si="58"/>
        <v>2042</v>
      </c>
      <c r="W49" s="7">
        <f t="shared" si="58"/>
        <v>2043</v>
      </c>
      <c r="X49" s="7">
        <f t="shared" si="58"/>
        <v>2044</v>
      </c>
      <c r="Y49" s="7">
        <f t="shared" si="58"/>
        <v>2045</v>
      </c>
      <c r="Z49" s="7">
        <f t="shared" si="58"/>
        <v>2046</v>
      </c>
      <c r="AA49" s="7">
        <f t="shared" si="58"/>
        <v>2047</v>
      </c>
      <c r="AB49" s="7">
        <f t="shared" si="58"/>
        <v>2048</v>
      </c>
      <c r="AC49" s="7">
        <f t="shared" si="58"/>
        <v>2049</v>
      </c>
      <c r="AD49" s="7">
        <f t="shared" si="58"/>
        <v>2050</v>
      </c>
      <c r="AE49" s="7">
        <f t="shared" si="58"/>
        <v>2051</v>
      </c>
      <c r="AF49" s="7">
        <f t="shared" si="58"/>
        <v>2052</v>
      </c>
      <c r="AG49" s="7">
        <f t="shared" ref="AG49:AQ49" si="59">AG6</f>
        <v>2053</v>
      </c>
      <c r="AH49" s="7">
        <f t="shared" si="59"/>
        <v>2054</v>
      </c>
      <c r="AI49" s="7">
        <f t="shared" si="59"/>
        <v>2055</v>
      </c>
      <c r="AJ49" s="7">
        <f t="shared" si="59"/>
        <v>2056</v>
      </c>
      <c r="AK49" s="7">
        <f t="shared" si="59"/>
        <v>2057</v>
      </c>
      <c r="AL49" s="7">
        <f t="shared" si="59"/>
        <v>2058</v>
      </c>
      <c r="AM49" s="7">
        <f t="shared" si="59"/>
        <v>2059</v>
      </c>
      <c r="AN49" s="7">
        <f t="shared" si="59"/>
        <v>2060</v>
      </c>
      <c r="AO49" s="7">
        <f t="shared" si="59"/>
        <v>2061</v>
      </c>
      <c r="AP49" s="7">
        <f t="shared" si="59"/>
        <v>2062</v>
      </c>
      <c r="AQ49" s="7">
        <f t="shared" si="59"/>
        <v>2063</v>
      </c>
    </row>
    <row r="50" spans="2:43">
      <c r="B50" s="3" t="s">
        <v>276</v>
      </c>
      <c r="C50" s="216">
        <f>SUM(D50:AQ50)</f>
        <v>18593628.396832138</v>
      </c>
      <c r="D50" s="216">
        <f>'01 Investičné výdavky'!D30</f>
        <v>1484365.2921840784</v>
      </c>
      <c r="E50" s="216">
        <f>'01 Investičné výdavky'!E30</f>
        <v>9296814.1984160691</v>
      </c>
      <c r="F50" s="216">
        <f>'01 Investičné výdavky'!F30</f>
        <v>7812448.906231991</v>
      </c>
      <c r="G50" s="216"/>
      <c r="H50" s="216"/>
      <c r="I50" s="216"/>
      <c r="J50" s="216"/>
      <c r="K50" s="216"/>
      <c r="L50" s="216"/>
      <c r="M50" s="216"/>
      <c r="N50" s="216"/>
      <c r="O50" s="216"/>
      <c r="P50" s="216"/>
      <c r="Q50" s="216"/>
      <c r="R50" s="216"/>
      <c r="S50" s="216"/>
      <c r="T50" s="216"/>
      <c r="U50" s="216"/>
      <c r="V50" s="216"/>
      <c r="W50" s="216"/>
      <c r="X50" s="216"/>
      <c r="Y50" s="216"/>
      <c r="Z50" s="216"/>
      <c r="AA50" s="216"/>
      <c r="AB50" s="216"/>
      <c r="AC50" s="216"/>
      <c r="AD50" s="216"/>
      <c r="AE50" s="216"/>
      <c r="AF50" s="216"/>
      <c r="AG50" s="216"/>
      <c r="AH50" s="216"/>
      <c r="AI50" s="216"/>
      <c r="AJ50" s="216"/>
      <c r="AK50" s="216"/>
      <c r="AL50" s="216"/>
      <c r="AM50" s="216"/>
      <c r="AN50" s="216"/>
      <c r="AO50" s="216"/>
      <c r="AP50" s="216"/>
      <c r="AQ50" s="216"/>
    </row>
    <row r="51" spans="2:43">
      <c r="B51" s="141" t="s">
        <v>281</v>
      </c>
      <c r="C51" s="217">
        <f t="shared" ref="C51:C57" si="60">SUM(D51:AQ51)</f>
        <v>0</v>
      </c>
      <c r="D51" s="217">
        <f>'04 Prevádzkové príjmy'!D17</f>
        <v>0</v>
      </c>
      <c r="E51" s="217">
        <f>'04 Prevádzkové príjmy'!E17</f>
        <v>0</v>
      </c>
      <c r="F51" s="217">
        <f>'04 Prevádzkové príjmy'!F17</f>
        <v>0</v>
      </c>
      <c r="G51" s="217">
        <f>'04 Prevádzkové príjmy'!G17</f>
        <v>0</v>
      </c>
      <c r="H51" s="217">
        <f>'04 Prevádzkové príjmy'!H17</f>
        <v>0</v>
      </c>
      <c r="I51" s="217">
        <f>'04 Prevádzkové príjmy'!I17</f>
        <v>0</v>
      </c>
      <c r="J51" s="217">
        <f>'04 Prevádzkové príjmy'!J17</f>
        <v>0</v>
      </c>
      <c r="K51" s="217">
        <f>'04 Prevádzkové príjmy'!K17</f>
        <v>0</v>
      </c>
      <c r="L51" s="217">
        <f>'04 Prevádzkové príjmy'!L17</f>
        <v>0</v>
      </c>
      <c r="M51" s="217">
        <f>'04 Prevádzkové príjmy'!M17</f>
        <v>0</v>
      </c>
      <c r="N51" s="217">
        <f>'04 Prevádzkové príjmy'!N17</f>
        <v>0</v>
      </c>
      <c r="O51" s="217">
        <f>'04 Prevádzkové príjmy'!O17</f>
        <v>0</v>
      </c>
      <c r="P51" s="217">
        <f>'04 Prevádzkové príjmy'!P17</f>
        <v>0</v>
      </c>
      <c r="Q51" s="217">
        <f>'04 Prevádzkové príjmy'!Q17</f>
        <v>0</v>
      </c>
      <c r="R51" s="217">
        <f>'04 Prevádzkové príjmy'!R17</f>
        <v>0</v>
      </c>
      <c r="S51" s="217">
        <f>'04 Prevádzkové príjmy'!S17</f>
        <v>0</v>
      </c>
      <c r="T51" s="217">
        <f>'04 Prevádzkové príjmy'!T17</f>
        <v>0</v>
      </c>
      <c r="U51" s="217">
        <f>'04 Prevádzkové príjmy'!U17</f>
        <v>0</v>
      </c>
      <c r="V51" s="217">
        <f>'04 Prevádzkové príjmy'!V17</f>
        <v>0</v>
      </c>
      <c r="W51" s="217">
        <f>'04 Prevádzkové príjmy'!W17</f>
        <v>0</v>
      </c>
      <c r="X51" s="217">
        <f>'04 Prevádzkové príjmy'!X17</f>
        <v>0</v>
      </c>
      <c r="Y51" s="217">
        <f>'04 Prevádzkové príjmy'!Y17</f>
        <v>0</v>
      </c>
      <c r="Z51" s="217">
        <f>'04 Prevádzkové príjmy'!Z17</f>
        <v>0</v>
      </c>
      <c r="AA51" s="217">
        <f>'04 Prevádzkové príjmy'!AA17</f>
        <v>0</v>
      </c>
      <c r="AB51" s="217">
        <f>'04 Prevádzkové príjmy'!AB17</f>
        <v>0</v>
      </c>
      <c r="AC51" s="217">
        <f>'04 Prevádzkové príjmy'!AC17</f>
        <v>0</v>
      </c>
      <c r="AD51" s="217">
        <f>'04 Prevádzkové príjmy'!AD17</f>
        <v>0</v>
      </c>
      <c r="AE51" s="217">
        <f>'04 Prevádzkové príjmy'!AE17</f>
        <v>0</v>
      </c>
      <c r="AF51" s="217">
        <f>'04 Prevádzkové príjmy'!AF17</f>
        <v>0</v>
      </c>
      <c r="AG51" s="217">
        <f>'04 Prevádzkové príjmy'!AG17</f>
        <v>0</v>
      </c>
      <c r="AH51" s="217">
        <f>'04 Prevádzkové príjmy'!AH17</f>
        <v>0</v>
      </c>
      <c r="AI51" s="217">
        <f>'04 Prevádzkové príjmy'!AI17</f>
        <v>0</v>
      </c>
      <c r="AJ51" s="217">
        <f>'04 Prevádzkové príjmy'!AJ17</f>
        <v>0</v>
      </c>
      <c r="AK51" s="217">
        <f>'04 Prevádzkové príjmy'!AK17</f>
        <v>0</v>
      </c>
      <c r="AL51" s="217">
        <f>'04 Prevádzkové príjmy'!AL17</f>
        <v>0</v>
      </c>
      <c r="AM51" s="217">
        <f>'04 Prevádzkové príjmy'!AM17</f>
        <v>0</v>
      </c>
      <c r="AN51" s="217">
        <f>'04 Prevádzkové príjmy'!AN17</f>
        <v>0</v>
      </c>
      <c r="AO51" s="217">
        <f>'04 Prevádzkové príjmy'!AO17</f>
        <v>0</v>
      </c>
      <c r="AP51" s="217">
        <f>'04 Prevádzkové príjmy'!AP17</f>
        <v>0</v>
      </c>
      <c r="AQ51" s="217">
        <f>'04 Prevádzkové príjmy'!AQ17</f>
        <v>0</v>
      </c>
    </row>
    <row r="52" spans="2:43">
      <c r="B52" s="4" t="s">
        <v>10</v>
      </c>
      <c r="C52" s="218">
        <f t="shared" si="60"/>
        <v>18593628.396832138</v>
      </c>
      <c r="D52" s="218">
        <f>SUM(D50:D51)</f>
        <v>1484365.2921840784</v>
      </c>
      <c r="E52" s="218">
        <f t="shared" ref="E52" si="61">SUM(E50:E51)</f>
        <v>9296814.1984160691</v>
      </c>
      <c r="F52" s="218">
        <f t="shared" ref="F52" si="62">SUM(F50:F51)</f>
        <v>7812448.906231991</v>
      </c>
      <c r="G52" s="218">
        <f t="shared" ref="G52" si="63">SUM(G50:G51)</f>
        <v>0</v>
      </c>
      <c r="H52" s="218">
        <f t="shared" ref="H52" si="64">SUM(H50:H51)</f>
        <v>0</v>
      </c>
      <c r="I52" s="218">
        <f t="shared" ref="I52" si="65">SUM(I50:I51)</f>
        <v>0</v>
      </c>
      <c r="J52" s="218">
        <f t="shared" ref="J52" si="66">SUM(J50:J51)</f>
        <v>0</v>
      </c>
      <c r="K52" s="218">
        <f t="shared" ref="K52" si="67">SUM(K50:K51)</f>
        <v>0</v>
      </c>
      <c r="L52" s="218">
        <f t="shared" ref="L52" si="68">SUM(L50:L51)</f>
        <v>0</v>
      </c>
      <c r="M52" s="218">
        <f t="shared" ref="M52" si="69">SUM(M50:M51)</f>
        <v>0</v>
      </c>
      <c r="N52" s="218">
        <f t="shared" ref="N52" si="70">SUM(N50:N51)</f>
        <v>0</v>
      </c>
      <c r="O52" s="218">
        <f t="shared" ref="O52" si="71">SUM(O50:O51)</f>
        <v>0</v>
      </c>
      <c r="P52" s="218">
        <f t="shared" ref="P52" si="72">SUM(P50:P51)</f>
        <v>0</v>
      </c>
      <c r="Q52" s="218">
        <f t="shared" ref="Q52" si="73">SUM(Q50:Q51)</f>
        <v>0</v>
      </c>
      <c r="R52" s="218">
        <f t="shared" ref="R52" si="74">SUM(R50:R51)</f>
        <v>0</v>
      </c>
      <c r="S52" s="218">
        <f t="shared" ref="S52" si="75">SUM(S50:S51)</f>
        <v>0</v>
      </c>
      <c r="T52" s="218">
        <f t="shared" ref="T52" si="76">SUM(T50:T51)</f>
        <v>0</v>
      </c>
      <c r="U52" s="218">
        <f t="shared" ref="U52" si="77">SUM(U50:U51)</f>
        <v>0</v>
      </c>
      <c r="V52" s="218">
        <f t="shared" ref="V52" si="78">SUM(V50:V51)</f>
        <v>0</v>
      </c>
      <c r="W52" s="218">
        <f t="shared" ref="W52" si="79">SUM(W50:W51)</f>
        <v>0</v>
      </c>
      <c r="X52" s="218">
        <f t="shared" ref="X52" si="80">SUM(X50:X51)</f>
        <v>0</v>
      </c>
      <c r="Y52" s="218">
        <f t="shared" ref="Y52" si="81">SUM(Y50:Y51)</f>
        <v>0</v>
      </c>
      <c r="Z52" s="218">
        <f t="shared" ref="Z52" si="82">SUM(Z50:Z51)</f>
        <v>0</v>
      </c>
      <c r="AA52" s="218">
        <f t="shared" ref="AA52" si="83">SUM(AA50:AA51)</f>
        <v>0</v>
      </c>
      <c r="AB52" s="218">
        <f t="shared" ref="AB52" si="84">SUM(AB50:AB51)</f>
        <v>0</v>
      </c>
      <c r="AC52" s="218">
        <f t="shared" ref="AC52" si="85">SUM(AC50:AC51)</f>
        <v>0</v>
      </c>
      <c r="AD52" s="218">
        <f t="shared" ref="AD52" si="86">SUM(AD50:AD51)</f>
        <v>0</v>
      </c>
      <c r="AE52" s="218">
        <f t="shared" ref="AE52" si="87">SUM(AE50:AE51)</f>
        <v>0</v>
      </c>
      <c r="AF52" s="218">
        <f t="shared" ref="AF52:AQ52" si="88">SUM(AF50:AF51)</f>
        <v>0</v>
      </c>
      <c r="AG52" s="218">
        <f t="shared" si="88"/>
        <v>0</v>
      </c>
      <c r="AH52" s="218">
        <f t="shared" si="88"/>
        <v>0</v>
      </c>
      <c r="AI52" s="218">
        <f t="shared" si="88"/>
        <v>0</v>
      </c>
      <c r="AJ52" s="218">
        <f t="shared" si="88"/>
        <v>0</v>
      </c>
      <c r="AK52" s="218">
        <f t="shared" si="88"/>
        <v>0</v>
      </c>
      <c r="AL52" s="218">
        <f t="shared" si="88"/>
        <v>0</v>
      </c>
      <c r="AM52" s="218">
        <f t="shared" si="88"/>
        <v>0</v>
      </c>
      <c r="AN52" s="218">
        <f t="shared" si="88"/>
        <v>0</v>
      </c>
      <c r="AO52" s="218">
        <f t="shared" si="88"/>
        <v>0</v>
      </c>
      <c r="AP52" s="218">
        <f t="shared" si="88"/>
        <v>0</v>
      </c>
      <c r="AQ52" s="218">
        <f t="shared" si="88"/>
        <v>0</v>
      </c>
    </row>
    <row r="53" spans="2:43">
      <c r="B53" s="3" t="s">
        <v>74</v>
      </c>
      <c r="C53" s="216">
        <f t="shared" si="60"/>
        <v>34218526.209296122</v>
      </c>
      <c r="D53" s="216">
        <f>D7</f>
        <v>1484365.2921840784</v>
      </c>
      <c r="E53" s="216">
        <f t="shared" ref="E53:H53" si="89">E7</f>
        <v>9296814.1984160691</v>
      </c>
      <c r="F53" s="216">
        <f t="shared" si="89"/>
        <v>7812448.906231991</v>
      </c>
      <c r="G53" s="216">
        <f t="shared" si="89"/>
        <v>15624897.812463982</v>
      </c>
      <c r="H53" s="216">
        <f t="shared" si="89"/>
        <v>0</v>
      </c>
      <c r="I53" s="216"/>
      <c r="J53" s="216"/>
      <c r="K53" s="216"/>
      <c r="L53" s="216"/>
      <c r="M53" s="216"/>
      <c r="N53" s="216"/>
      <c r="O53" s="216"/>
      <c r="P53" s="216"/>
      <c r="Q53" s="216"/>
      <c r="R53" s="216"/>
      <c r="S53" s="216"/>
      <c r="T53" s="216"/>
      <c r="U53" s="216"/>
      <c r="V53" s="216"/>
      <c r="W53" s="216"/>
      <c r="X53" s="216"/>
      <c r="Y53" s="216"/>
      <c r="Z53" s="216"/>
      <c r="AA53" s="216"/>
      <c r="AB53" s="216"/>
      <c r="AC53" s="216"/>
      <c r="AD53" s="216"/>
      <c r="AE53" s="216"/>
      <c r="AF53" s="216"/>
      <c r="AG53" s="216"/>
      <c r="AH53" s="216"/>
      <c r="AI53" s="216"/>
      <c r="AJ53" s="216"/>
      <c r="AK53" s="216"/>
      <c r="AL53" s="216"/>
      <c r="AM53" s="216"/>
      <c r="AN53" s="216"/>
      <c r="AO53" s="216"/>
      <c r="AP53" s="216"/>
      <c r="AQ53" s="216"/>
    </row>
    <row r="54" spans="2:43">
      <c r="B54" s="141" t="s">
        <v>280</v>
      </c>
      <c r="C54" s="217">
        <f t="shared" si="60"/>
        <v>351656071.74946678</v>
      </c>
      <c r="D54" s="217">
        <f>'03 Prevádzkové výdavky'!D25</f>
        <v>10278625.956630288</v>
      </c>
      <c r="E54" s="217">
        <f>'03 Prevádzkové výdavky'!E25</f>
        <v>10278625.956630288</v>
      </c>
      <c r="F54" s="217">
        <f>'03 Prevádzkové výdavky'!F25</f>
        <v>10278625.956630288</v>
      </c>
      <c r="G54" s="217">
        <f>'03 Prevádzkové výdavky'!G25</f>
        <v>9721848.3463800605</v>
      </c>
      <c r="H54" s="217">
        <f>'03 Prevádzkové výdavky'!H25</f>
        <v>8359859.5031526871</v>
      </c>
      <c r="I54" s="217">
        <f>'03 Prevádzkové výdavky'!I25</f>
        <v>8359859.5031526871</v>
      </c>
      <c r="J54" s="217">
        <f>'03 Prevádzkové výdavky'!J25</f>
        <v>8359859.5031526871</v>
      </c>
      <c r="K54" s="217">
        <f>'03 Prevádzkové výdavky'!K25</f>
        <v>8359859.5031526871</v>
      </c>
      <c r="L54" s="217">
        <f>'03 Prevádzkové výdavky'!L25</f>
        <v>8359859.5031526871</v>
      </c>
      <c r="M54" s="217">
        <f>'03 Prevádzkové výdavky'!M25</f>
        <v>8359859.5031526871</v>
      </c>
      <c r="N54" s="217">
        <f>'03 Prevádzkové výdavky'!N25</f>
        <v>8359859.5031526871</v>
      </c>
      <c r="O54" s="217">
        <f>'03 Prevádzkové výdavky'!O25</f>
        <v>8359859.5031526871</v>
      </c>
      <c r="P54" s="217">
        <f>'03 Prevádzkové výdavky'!P25</f>
        <v>8359859.5031526871</v>
      </c>
      <c r="Q54" s="217">
        <f>'03 Prevádzkové výdavky'!Q25</f>
        <v>8359859.5031526871</v>
      </c>
      <c r="R54" s="217">
        <f>'03 Prevádzkové výdavky'!R25</f>
        <v>8359859.5031526871</v>
      </c>
      <c r="S54" s="217">
        <f>'03 Prevádzkové výdavky'!S25</f>
        <v>8359859.5031526871</v>
      </c>
      <c r="T54" s="217">
        <f>'03 Prevádzkové výdavky'!T25</f>
        <v>8359859.5031526871</v>
      </c>
      <c r="U54" s="217">
        <f>'03 Prevádzkové výdavky'!U25</f>
        <v>8359859.5031526871</v>
      </c>
      <c r="V54" s="217">
        <f>'03 Prevádzkové výdavky'!V25</f>
        <v>8359859.5031526871</v>
      </c>
      <c r="W54" s="217">
        <f>'03 Prevádzkové výdavky'!W25</f>
        <v>8359859.5031526871</v>
      </c>
      <c r="X54" s="217">
        <f>'03 Prevádzkové výdavky'!X25</f>
        <v>8359859.5031526871</v>
      </c>
      <c r="Y54" s="217">
        <f>'03 Prevádzkové výdavky'!Y25</f>
        <v>8359859.5031526871</v>
      </c>
      <c r="Z54" s="217">
        <f>'03 Prevádzkové výdavky'!Z25</f>
        <v>8359859.5031526871</v>
      </c>
      <c r="AA54" s="217">
        <f>'03 Prevádzkové výdavky'!AA25</f>
        <v>15333897.378614051</v>
      </c>
      <c r="AB54" s="217">
        <f>'03 Prevádzkové výdavky'!AB25</f>
        <v>8359859.5031526871</v>
      </c>
      <c r="AC54" s="217">
        <f>'03 Prevádzkové výdavky'!AC25</f>
        <v>8359859.5031526871</v>
      </c>
      <c r="AD54" s="217">
        <f>'03 Prevádzkové výdavky'!AD25</f>
        <v>8359859.5031526871</v>
      </c>
      <c r="AE54" s="217">
        <f>'03 Prevádzkové výdavky'!AE25</f>
        <v>8359859.5031526871</v>
      </c>
      <c r="AF54" s="217">
        <f>'03 Prevádzkové výdavky'!AF25</f>
        <v>8359859.5031526871</v>
      </c>
      <c r="AG54" s="217">
        <f>'03 Prevádzkové výdavky'!AG25</f>
        <v>8359859.5031526871</v>
      </c>
      <c r="AH54" s="217">
        <f>'03 Prevádzkové výdavky'!AH25</f>
        <v>8359859.5031526871</v>
      </c>
      <c r="AI54" s="217">
        <f>'03 Prevádzkové výdavky'!AI25</f>
        <v>8359859.5031526871</v>
      </c>
      <c r="AJ54" s="217">
        <f>'03 Prevádzkové výdavky'!AJ25</f>
        <v>8359859.5031526871</v>
      </c>
      <c r="AK54" s="217">
        <f>'03 Prevádzkové výdavky'!AK25</f>
        <v>11529225.047390522</v>
      </c>
      <c r="AL54" s="217">
        <f>'03 Prevádzkové výdavky'!AL25</f>
        <v>8359859.5031526871</v>
      </c>
      <c r="AM54" s="217">
        <f>'03 Prevádzkové výdavky'!AM25</f>
        <v>8359859.5031526871</v>
      </c>
      <c r="AN54" s="217">
        <f>'03 Prevádzkové výdavky'!AN25</f>
        <v>8359859.5031526871</v>
      </c>
      <c r="AO54" s="217">
        <f>'03 Prevádzkové výdavky'!AO25</f>
        <v>8359859.5031526871</v>
      </c>
      <c r="AP54" s="217">
        <f>'03 Prevádzkové výdavky'!AP25</f>
        <v>8359859.5031526871</v>
      </c>
      <c r="AQ54" s="217">
        <f>'03 Prevádzkové výdavky'!AQ25</f>
        <v>8359859.5031526871</v>
      </c>
    </row>
    <row r="55" spans="2:43">
      <c r="B55" s="3" t="s">
        <v>263</v>
      </c>
      <c r="C55" s="216">
        <f t="shared" si="60"/>
        <v>0</v>
      </c>
      <c r="D55" s="216">
        <f>D22</f>
        <v>0</v>
      </c>
      <c r="E55" s="216">
        <f t="shared" ref="E55:AF55" si="90">E22</f>
        <v>0</v>
      </c>
      <c r="F55" s="216">
        <f t="shared" si="90"/>
        <v>0</v>
      </c>
      <c r="G55" s="216">
        <f t="shared" si="90"/>
        <v>0</v>
      </c>
      <c r="H55" s="216">
        <f t="shared" si="90"/>
        <v>0</v>
      </c>
      <c r="I55" s="216">
        <f t="shared" si="90"/>
        <v>0</v>
      </c>
      <c r="J55" s="216">
        <f t="shared" si="90"/>
        <v>0</v>
      </c>
      <c r="K55" s="216">
        <f t="shared" si="90"/>
        <v>0</v>
      </c>
      <c r="L55" s="216">
        <f t="shared" si="90"/>
        <v>0</v>
      </c>
      <c r="M55" s="216">
        <f t="shared" si="90"/>
        <v>0</v>
      </c>
      <c r="N55" s="216">
        <f t="shared" si="90"/>
        <v>0</v>
      </c>
      <c r="O55" s="216">
        <f t="shared" si="90"/>
        <v>0</v>
      </c>
      <c r="P55" s="216">
        <f t="shared" si="90"/>
        <v>0</v>
      </c>
      <c r="Q55" s="216">
        <f t="shared" si="90"/>
        <v>0</v>
      </c>
      <c r="R55" s="216">
        <f t="shared" si="90"/>
        <v>0</v>
      </c>
      <c r="S55" s="216">
        <f t="shared" si="90"/>
        <v>0</v>
      </c>
      <c r="T55" s="216">
        <f t="shared" si="90"/>
        <v>0</v>
      </c>
      <c r="U55" s="216">
        <f t="shared" si="90"/>
        <v>0</v>
      </c>
      <c r="V55" s="216">
        <f t="shared" si="90"/>
        <v>0</v>
      </c>
      <c r="W55" s="216">
        <f t="shared" si="90"/>
        <v>0</v>
      </c>
      <c r="X55" s="216">
        <f t="shared" si="90"/>
        <v>0</v>
      </c>
      <c r="Y55" s="216">
        <f t="shared" si="90"/>
        <v>0</v>
      </c>
      <c r="Z55" s="216">
        <f t="shared" si="90"/>
        <v>0</v>
      </c>
      <c r="AA55" s="216">
        <f t="shared" si="90"/>
        <v>0</v>
      </c>
      <c r="AB55" s="216">
        <f t="shared" si="90"/>
        <v>0</v>
      </c>
      <c r="AC55" s="216">
        <f t="shared" si="90"/>
        <v>0</v>
      </c>
      <c r="AD55" s="216">
        <f t="shared" si="90"/>
        <v>0</v>
      </c>
      <c r="AE55" s="216">
        <f t="shared" si="90"/>
        <v>0</v>
      </c>
      <c r="AF55" s="216">
        <f t="shared" si="90"/>
        <v>0</v>
      </c>
      <c r="AG55" s="216">
        <f t="shared" ref="AG55:AQ55" si="91">AG22</f>
        <v>0</v>
      </c>
      <c r="AH55" s="216">
        <f t="shared" si="91"/>
        <v>0</v>
      </c>
      <c r="AI55" s="216">
        <f t="shared" si="91"/>
        <v>0</v>
      </c>
      <c r="AJ55" s="216">
        <f t="shared" si="91"/>
        <v>0</v>
      </c>
      <c r="AK55" s="216">
        <f t="shared" si="91"/>
        <v>0</v>
      </c>
      <c r="AL55" s="216">
        <f t="shared" si="91"/>
        <v>0</v>
      </c>
      <c r="AM55" s="216">
        <f t="shared" si="91"/>
        <v>0</v>
      </c>
      <c r="AN55" s="216">
        <f t="shared" si="91"/>
        <v>0</v>
      </c>
      <c r="AO55" s="216">
        <f t="shared" si="91"/>
        <v>0</v>
      </c>
      <c r="AP55" s="216">
        <f t="shared" si="91"/>
        <v>0</v>
      </c>
      <c r="AQ55" s="216">
        <f t="shared" si="91"/>
        <v>0</v>
      </c>
    </row>
    <row r="56" spans="2:43">
      <c r="B56" s="4" t="s">
        <v>25</v>
      </c>
      <c r="C56" s="218">
        <f t="shared" si="60"/>
        <v>385874597.95876288</v>
      </c>
      <c r="D56" s="218">
        <f>SUM(D53:D55)</f>
        <v>11762991.248814367</v>
      </c>
      <c r="E56" s="218">
        <f t="shared" ref="E56" si="92">SUM(E53:E55)</f>
        <v>19575440.155046359</v>
      </c>
      <c r="F56" s="218">
        <f t="shared" ref="F56" si="93">SUM(F53:F55)</f>
        <v>18091074.862862278</v>
      </c>
      <c r="G56" s="218">
        <f t="shared" ref="G56" si="94">SUM(G53:G55)</f>
        <v>25346746.158844043</v>
      </c>
      <c r="H56" s="218">
        <f t="shared" ref="H56" si="95">SUM(H53:H55)</f>
        <v>8359859.5031526871</v>
      </c>
      <c r="I56" s="218">
        <f t="shared" ref="I56" si="96">SUM(I53:I55)</f>
        <v>8359859.5031526871</v>
      </c>
      <c r="J56" s="218">
        <f t="shared" ref="J56" si="97">SUM(J53:J55)</f>
        <v>8359859.5031526871</v>
      </c>
      <c r="K56" s="218">
        <f t="shared" ref="K56" si="98">SUM(K53:K55)</f>
        <v>8359859.5031526871</v>
      </c>
      <c r="L56" s="218">
        <f t="shared" ref="L56" si="99">SUM(L53:L55)</f>
        <v>8359859.5031526871</v>
      </c>
      <c r="M56" s="218">
        <f t="shared" ref="M56" si="100">SUM(M53:M55)</f>
        <v>8359859.5031526871</v>
      </c>
      <c r="N56" s="218">
        <f t="shared" ref="N56" si="101">SUM(N53:N55)</f>
        <v>8359859.5031526871</v>
      </c>
      <c r="O56" s="218">
        <f t="shared" ref="O56" si="102">SUM(O53:O55)</f>
        <v>8359859.5031526871</v>
      </c>
      <c r="P56" s="218">
        <f t="shared" ref="P56" si="103">SUM(P53:P55)</f>
        <v>8359859.5031526871</v>
      </c>
      <c r="Q56" s="218">
        <f t="shared" ref="Q56" si="104">SUM(Q53:Q55)</f>
        <v>8359859.5031526871</v>
      </c>
      <c r="R56" s="218">
        <f t="shared" ref="R56" si="105">SUM(R53:R55)</f>
        <v>8359859.5031526871</v>
      </c>
      <c r="S56" s="218">
        <f t="shared" ref="S56" si="106">SUM(S53:S55)</f>
        <v>8359859.5031526871</v>
      </c>
      <c r="T56" s="218">
        <f t="shared" ref="T56" si="107">SUM(T53:T55)</f>
        <v>8359859.5031526871</v>
      </c>
      <c r="U56" s="218">
        <f t="shared" ref="U56" si="108">SUM(U53:U55)</f>
        <v>8359859.5031526871</v>
      </c>
      <c r="V56" s="218">
        <f t="shared" ref="V56" si="109">SUM(V53:V55)</f>
        <v>8359859.5031526871</v>
      </c>
      <c r="W56" s="218">
        <f t="shared" ref="W56" si="110">SUM(W53:W55)</f>
        <v>8359859.5031526871</v>
      </c>
      <c r="X56" s="218">
        <f t="shared" ref="X56" si="111">SUM(X53:X55)</f>
        <v>8359859.5031526871</v>
      </c>
      <c r="Y56" s="218">
        <f t="shared" ref="Y56" si="112">SUM(Y53:Y55)</f>
        <v>8359859.5031526871</v>
      </c>
      <c r="Z56" s="218">
        <f t="shared" ref="Z56" si="113">SUM(Z53:Z55)</f>
        <v>8359859.5031526871</v>
      </c>
      <c r="AA56" s="218">
        <f t="shared" ref="AA56" si="114">SUM(AA53:AA55)</f>
        <v>15333897.378614051</v>
      </c>
      <c r="AB56" s="218">
        <f t="shared" ref="AB56" si="115">SUM(AB53:AB55)</f>
        <v>8359859.5031526871</v>
      </c>
      <c r="AC56" s="218">
        <f t="shared" ref="AC56" si="116">SUM(AC53:AC55)</f>
        <v>8359859.5031526871</v>
      </c>
      <c r="AD56" s="218">
        <f t="shared" ref="AD56" si="117">SUM(AD53:AD55)</f>
        <v>8359859.5031526871</v>
      </c>
      <c r="AE56" s="218">
        <f t="shared" ref="AE56" si="118">SUM(AE53:AE55)</f>
        <v>8359859.5031526871</v>
      </c>
      <c r="AF56" s="218">
        <f t="shared" ref="AF56:AQ56" si="119">SUM(AF53:AF55)</f>
        <v>8359859.5031526871</v>
      </c>
      <c r="AG56" s="218">
        <f t="shared" si="119"/>
        <v>8359859.5031526871</v>
      </c>
      <c r="AH56" s="218">
        <f t="shared" si="119"/>
        <v>8359859.5031526871</v>
      </c>
      <c r="AI56" s="218">
        <f t="shared" si="119"/>
        <v>8359859.5031526871</v>
      </c>
      <c r="AJ56" s="218">
        <f t="shared" si="119"/>
        <v>8359859.5031526871</v>
      </c>
      <c r="AK56" s="218">
        <f t="shared" si="119"/>
        <v>11529225.047390522</v>
      </c>
      <c r="AL56" s="218">
        <f t="shared" si="119"/>
        <v>8359859.5031526871</v>
      </c>
      <c r="AM56" s="218">
        <f t="shared" si="119"/>
        <v>8359859.5031526871</v>
      </c>
      <c r="AN56" s="218">
        <f t="shared" si="119"/>
        <v>8359859.5031526871</v>
      </c>
      <c r="AO56" s="218">
        <f t="shared" si="119"/>
        <v>8359859.5031526871</v>
      </c>
      <c r="AP56" s="218">
        <f t="shared" si="119"/>
        <v>8359859.5031526871</v>
      </c>
      <c r="AQ56" s="218">
        <f t="shared" si="119"/>
        <v>8359859.5031526871</v>
      </c>
    </row>
    <row r="57" spans="2:43">
      <c r="B57" s="140" t="s">
        <v>60</v>
      </c>
      <c r="C57" s="219">
        <f t="shared" si="60"/>
        <v>-367280969.56193078</v>
      </c>
      <c r="D57" s="219">
        <f>D52-D56</f>
        <v>-10278625.956630288</v>
      </c>
      <c r="E57" s="219">
        <f t="shared" ref="E57:AF57" si="120">E52-E56</f>
        <v>-10278625.95663029</v>
      </c>
      <c r="F57" s="219">
        <f t="shared" si="120"/>
        <v>-10278625.956630286</v>
      </c>
      <c r="G57" s="219">
        <f t="shared" si="120"/>
        <v>-25346746.158844043</v>
      </c>
      <c r="H57" s="219">
        <f t="shared" si="120"/>
        <v>-8359859.5031526871</v>
      </c>
      <c r="I57" s="219">
        <f t="shared" si="120"/>
        <v>-8359859.5031526871</v>
      </c>
      <c r="J57" s="219">
        <f t="shared" si="120"/>
        <v>-8359859.5031526871</v>
      </c>
      <c r="K57" s="219">
        <f t="shared" si="120"/>
        <v>-8359859.5031526871</v>
      </c>
      <c r="L57" s="219">
        <f t="shared" si="120"/>
        <v>-8359859.5031526871</v>
      </c>
      <c r="M57" s="219">
        <f t="shared" si="120"/>
        <v>-8359859.5031526871</v>
      </c>
      <c r="N57" s="219">
        <f t="shared" si="120"/>
        <v>-8359859.5031526871</v>
      </c>
      <c r="O57" s="219">
        <f t="shared" si="120"/>
        <v>-8359859.5031526871</v>
      </c>
      <c r="P57" s="219">
        <f t="shared" si="120"/>
        <v>-8359859.5031526871</v>
      </c>
      <c r="Q57" s="219">
        <f t="shared" si="120"/>
        <v>-8359859.5031526871</v>
      </c>
      <c r="R57" s="219">
        <f t="shared" si="120"/>
        <v>-8359859.5031526871</v>
      </c>
      <c r="S57" s="219">
        <f t="shared" si="120"/>
        <v>-8359859.5031526871</v>
      </c>
      <c r="T57" s="219">
        <f t="shared" si="120"/>
        <v>-8359859.5031526871</v>
      </c>
      <c r="U57" s="219">
        <f t="shared" si="120"/>
        <v>-8359859.5031526871</v>
      </c>
      <c r="V57" s="219">
        <f t="shared" si="120"/>
        <v>-8359859.5031526871</v>
      </c>
      <c r="W57" s="219">
        <f t="shared" si="120"/>
        <v>-8359859.5031526871</v>
      </c>
      <c r="X57" s="219">
        <f t="shared" si="120"/>
        <v>-8359859.5031526871</v>
      </c>
      <c r="Y57" s="219">
        <f t="shared" si="120"/>
        <v>-8359859.5031526871</v>
      </c>
      <c r="Z57" s="219">
        <f t="shared" si="120"/>
        <v>-8359859.5031526871</v>
      </c>
      <c r="AA57" s="219">
        <f t="shared" si="120"/>
        <v>-15333897.378614051</v>
      </c>
      <c r="AB57" s="219">
        <f t="shared" si="120"/>
        <v>-8359859.5031526871</v>
      </c>
      <c r="AC57" s="219">
        <f t="shared" si="120"/>
        <v>-8359859.5031526871</v>
      </c>
      <c r="AD57" s="219">
        <f t="shared" si="120"/>
        <v>-8359859.5031526871</v>
      </c>
      <c r="AE57" s="219">
        <f t="shared" si="120"/>
        <v>-8359859.5031526871</v>
      </c>
      <c r="AF57" s="219">
        <f t="shared" si="120"/>
        <v>-8359859.5031526871</v>
      </c>
      <c r="AG57" s="219">
        <f t="shared" ref="AG57:AQ57" si="121">AG52-AG56</f>
        <v>-8359859.5031526871</v>
      </c>
      <c r="AH57" s="219">
        <f t="shared" si="121"/>
        <v>-8359859.5031526871</v>
      </c>
      <c r="AI57" s="219">
        <f t="shared" si="121"/>
        <v>-8359859.5031526871</v>
      </c>
      <c r="AJ57" s="219">
        <f t="shared" si="121"/>
        <v>-8359859.5031526871</v>
      </c>
      <c r="AK57" s="219">
        <f t="shared" si="121"/>
        <v>-11529225.047390522</v>
      </c>
      <c r="AL57" s="219">
        <f t="shared" si="121"/>
        <v>-8359859.5031526871</v>
      </c>
      <c r="AM57" s="219">
        <f t="shared" si="121"/>
        <v>-8359859.5031526871</v>
      </c>
      <c r="AN57" s="219">
        <f t="shared" si="121"/>
        <v>-8359859.5031526871</v>
      </c>
      <c r="AO57" s="219">
        <f t="shared" si="121"/>
        <v>-8359859.5031526871</v>
      </c>
      <c r="AP57" s="219">
        <f t="shared" si="121"/>
        <v>-8359859.5031526871</v>
      </c>
      <c r="AQ57" s="219">
        <f t="shared" si="121"/>
        <v>-8359859.5031526871</v>
      </c>
    </row>
    <row r="58" spans="2:43">
      <c r="B58" s="3" t="s">
        <v>26</v>
      </c>
      <c r="C58" s="218"/>
      <c r="D58" s="216">
        <f>D57</f>
        <v>-10278625.956630288</v>
      </c>
      <c r="E58" s="216">
        <f>D58+E57</f>
        <v>-20557251.913260579</v>
      </c>
      <c r="F58" s="216">
        <f t="shared" ref="F58" si="122">E58+F57</f>
        <v>-30835877.869890865</v>
      </c>
      <c r="G58" s="216">
        <f t="shared" ref="G58" si="123">F58+G57</f>
        <v>-56182624.028734908</v>
      </c>
      <c r="H58" s="216">
        <f t="shared" ref="H58" si="124">G58+H57</f>
        <v>-64542483.531887591</v>
      </c>
      <c r="I58" s="216">
        <f t="shared" ref="I58" si="125">H58+I57</f>
        <v>-72902343.035040274</v>
      </c>
      <c r="J58" s="216">
        <f t="shared" ref="J58" si="126">I58+J57</f>
        <v>-81262202.538192958</v>
      </c>
      <c r="K58" s="216">
        <f t="shared" ref="K58" si="127">J58+K57</f>
        <v>-89622062.041345641</v>
      </c>
      <c r="L58" s="216">
        <f t="shared" ref="L58" si="128">K58+L57</f>
        <v>-97981921.544498324</v>
      </c>
      <c r="M58" s="216">
        <f t="shared" ref="M58" si="129">L58+M57</f>
        <v>-106341781.04765101</v>
      </c>
      <c r="N58" s="216">
        <f t="shared" ref="N58" si="130">M58+N57</f>
        <v>-114701640.55080369</v>
      </c>
      <c r="O58" s="216">
        <f t="shared" ref="O58" si="131">N58+O57</f>
        <v>-123061500.05395637</v>
      </c>
      <c r="P58" s="216">
        <f t="shared" ref="P58" si="132">O58+P57</f>
        <v>-131421359.55710906</v>
      </c>
      <c r="Q58" s="216">
        <f t="shared" ref="Q58" si="133">P58+Q57</f>
        <v>-139781219.06026176</v>
      </c>
      <c r="R58" s="216">
        <f t="shared" ref="R58" si="134">Q58+R57</f>
        <v>-148141078.56341445</v>
      </c>
      <c r="S58" s="216">
        <f t="shared" ref="S58" si="135">R58+S57</f>
        <v>-156500938.06656715</v>
      </c>
      <c r="T58" s="216">
        <f t="shared" ref="T58" si="136">S58+T57</f>
        <v>-164860797.56971985</v>
      </c>
      <c r="U58" s="216">
        <f t="shared" ref="U58" si="137">T58+U57</f>
        <v>-173220657.07287255</v>
      </c>
      <c r="V58" s="216">
        <f t="shared" ref="V58" si="138">U58+V57</f>
        <v>-181580516.57602525</v>
      </c>
      <c r="W58" s="216">
        <f t="shared" ref="W58" si="139">V58+W57</f>
        <v>-189940376.07917795</v>
      </c>
      <c r="X58" s="216">
        <f t="shared" ref="X58" si="140">W58+X57</f>
        <v>-198300235.58233064</v>
      </c>
      <c r="Y58" s="216">
        <f t="shared" ref="Y58" si="141">X58+Y57</f>
        <v>-206660095.08548334</v>
      </c>
      <c r="Z58" s="216">
        <f t="shared" ref="Z58" si="142">Y58+Z57</f>
        <v>-215019954.58863604</v>
      </c>
      <c r="AA58" s="216">
        <f t="shared" ref="AA58" si="143">Z58+AA57</f>
        <v>-230353851.96725008</v>
      </c>
      <c r="AB58" s="216">
        <f t="shared" ref="AB58" si="144">AA58+AB57</f>
        <v>-238713711.47040278</v>
      </c>
      <c r="AC58" s="216">
        <f t="shared" ref="AC58" si="145">AB58+AC57</f>
        <v>-247073570.97355548</v>
      </c>
      <c r="AD58" s="216">
        <f t="shared" ref="AD58" si="146">AC58+AD57</f>
        <v>-255433430.47670817</v>
      </c>
      <c r="AE58" s="216">
        <f t="shared" ref="AE58" si="147">AD58+AE57</f>
        <v>-263793289.97986087</v>
      </c>
      <c r="AF58" s="216">
        <f t="shared" ref="AF58" si="148">AE58+AF57</f>
        <v>-272153149.48301357</v>
      </c>
      <c r="AG58" s="216">
        <f t="shared" ref="AG58" si="149">AF58+AG57</f>
        <v>-280513008.98616624</v>
      </c>
      <c r="AH58" s="216">
        <f t="shared" ref="AH58" si="150">AG58+AH57</f>
        <v>-288872868.48931891</v>
      </c>
      <c r="AI58" s="216">
        <f t="shared" ref="AI58" si="151">AH58+AI57</f>
        <v>-297232727.99247158</v>
      </c>
      <c r="AJ58" s="216">
        <f t="shared" ref="AJ58" si="152">AI58+AJ57</f>
        <v>-305592587.49562424</v>
      </c>
      <c r="AK58" s="216">
        <f t="shared" ref="AK58" si="153">AJ58+AK57</f>
        <v>-317121812.54301476</v>
      </c>
      <c r="AL58" s="216">
        <f t="shared" ref="AL58" si="154">AK58+AL57</f>
        <v>-325481672.04616743</v>
      </c>
      <c r="AM58" s="216">
        <f t="shared" ref="AM58" si="155">AL58+AM57</f>
        <v>-333841531.5493201</v>
      </c>
      <c r="AN58" s="216">
        <f t="shared" ref="AN58" si="156">AM58+AN57</f>
        <v>-342201391.05247277</v>
      </c>
      <c r="AO58" s="216">
        <f t="shared" ref="AO58" si="157">AN58+AO57</f>
        <v>-350561250.55562544</v>
      </c>
      <c r="AP58" s="216">
        <f t="shared" ref="AP58" si="158">AO58+AP57</f>
        <v>-358921110.05877811</v>
      </c>
      <c r="AQ58" s="216">
        <f t="shared" ref="AQ58" si="159">AP58+AQ57</f>
        <v>-367280969.56193078</v>
      </c>
    </row>
    <row r="59" spans="2:43">
      <c r="B59" s="3" t="s">
        <v>278</v>
      </c>
      <c r="C59" s="218">
        <f t="shared" ref="C59" si="160">SUM(D59:AQ59)</f>
        <v>367280969.56193078</v>
      </c>
      <c r="D59" s="220">
        <f>-D57</f>
        <v>10278625.956630288</v>
      </c>
      <c r="E59" s="220">
        <f t="shared" ref="E59:AF59" si="161">-E57</f>
        <v>10278625.95663029</v>
      </c>
      <c r="F59" s="220">
        <f t="shared" si="161"/>
        <v>10278625.956630286</v>
      </c>
      <c r="G59" s="220">
        <f t="shared" si="161"/>
        <v>25346746.158844043</v>
      </c>
      <c r="H59" s="220">
        <f t="shared" si="161"/>
        <v>8359859.5031526871</v>
      </c>
      <c r="I59" s="220">
        <f t="shared" si="161"/>
        <v>8359859.5031526871</v>
      </c>
      <c r="J59" s="220">
        <f t="shared" si="161"/>
        <v>8359859.5031526871</v>
      </c>
      <c r="K59" s="220">
        <f t="shared" si="161"/>
        <v>8359859.5031526871</v>
      </c>
      <c r="L59" s="220">
        <f t="shared" si="161"/>
        <v>8359859.5031526871</v>
      </c>
      <c r="M59" s="220">
        <f t="shared" si="161"/>
        <v>8359859.5031526871</v>
      </c>
      <c r="N59" s="220">
        <f t="shared" si="161"/>
        <v>8359859.5031526871</v>
      </c>
      <c r="O59" s="220">
        <f t="shared" si="161"/>
        <v>8359859.5031526871</v>
      </c>
      <c r="P59" s="220">
        <f t="shared" si="161"/>
        <v>8359859.5031526871</v>
      </c>
      <c r="Q59" s="220">
        <f t="shared" si="161"/>
        <v>8359859.5031526871</v>
      </c>
      <c r="R59" s="220">
        <f t="shared" si="161"/>
        <v>8359859.5031526871</v>
      </c>
      <c r="S59" s="220">
        <f t="shared" si="161"/>
        <v>8359859.5031526871</v>
      </c>
      <c r="T59" s="220">
        <f t="shared" si="161"/>
        <v>8359859.5031526871</v>
      </c>
      <c r="U59" s="220">
        <f t="shared" si="161"/>
        <v>8359859.5031526871</v>
      </c>
      <c r="V59" s="220">
        <f t="shared" si="161"/>
        <v>8359859.5031526871</v>
      </c>
      <c r="W59" s="220">
        <f t="shared" si="161"/>
        <v>8359859.5031526871</v>
      </c>
      <c r="X59" s="220">
        <f t="shared" si="161"/>
        <v>8359859.5031526871</v>
      </c>
      <c r="Y59" s="220">
        <f t="shared" si="161"/>
        <v>8359859.5031526871</v>
      </c>
      <c r="Z59" s="220">
        <f t="shared" si="161"/>
        <v>8359859.5031526871</v>
      </c>
      <c r="AA59" s="220">
        <f t="shared" si="161"/>
        <v>15333897.378614051</v>
      </c>
      <c r="AB59" s="220">
        <f t="shared" si="161"/>
        <v>8359859.5031526871</v>
      </c>
      <c r="AC59" s="220">
        <f t="shared" si="161"/>
        <v>8359859.5031526871</v>
      </c>
      <c r="AD59" s="220">
        <f t="shared" si="161"/>
        <v>8359859.5031526871</v>
      </c>
      <c r="AE59" s="220">
        <f t="shared" si="161"/>
        <v>8359859.5031526871</v>
      </c>
      <c r="AF59" s="220">
        <f t="shared" si="161"/>
        <v>8359859.5031526871</v>
      </c>
      <c r="AG59" s="220">
        <f t="shared" ref="AG59:AQ59" si="162">-AG57</f>
        <v>8359859.5031526871</v>
      </c>
      <c r="AH59" s="220">
        <f t="shared" si="162"/>
        <v>8359859.5031526871</v>
      </c>
      <c r="AI59" s="220">
        <f t="shared" si="162"/>
        <v>8359859.5031526871</v>
      </c>
      <c r="AJ59" s="220">
        <f t="shared" si="162"/>
        <v>8359859.5031526871</v>
      </c>
      <c r="AK59" s="220">
        <f t="shared" si="162"/>
        <v>11529225.047390522</v>
      </c>
      <c r="AL59" s="220">
        <f t="shared" si="162"/>
        <v>8359859.5031526871</v>
      </c>
      <c r="AM59" s="220">
        <f t="shared" si="162"/>
        <v>8359859.5031526871</v>
      </c>
      <c r="AN59" s="220">
        <f t="shared" si="162"/>
        <v>8359859.5031526871</v>
      </c>
      <c r="AO59" s="220">
        <f t="shared" si="162"/>
        <v>8359859.5031526871</v>
      </c>
      <c r="AP59" s="220">
        <f t="shared" si="162"/>
        <v>8359859.5031526871</v>
      </c>
      <c r="AQ59" s="220">
        <f t="shared" si="162"/>
        <v>8359859.5031526871</v>
      </c>
    </row>
    <row r="60" spans="2:43">
      <c r="B60" s="31" t="s">
        <v>279</v>
      </c>
      <c r="C60" s="221"/>
      <c r="D60" s="221">
        <f>D57+D59</f>
        <v>0</v>
      </c>
      <c r="E60" s="221">
        <f>D60+E57+E59</f>
        <v>0</v>
      </c>
      <c r="F60" s="221">
        <f t="shared" ref="F60:AF60" si="163">E60+F57+F59</f>
        <v>0</v>
      </c>
      <c r="G60" s="221">
        <f t="shared" si="163"/>
        <v>0</v>
      </c>
      <c r="H60" s="221">
        <f t="shared" si="163"/>
        <v>0</v>
      </c>
      <c r="I60" s="221">
        <f t="shared" si="163"/>
        <v>0</v>
      </c>
      <c r="J60" s="221">
        <f t="shared" si="163"/>
        <v>0</v>
      </c>
      <c r="K60" s="221">
        <f t="shared" si="163"/>
        <v>0</v>
      </c>
      <c r="L60" s="221">
        <f t="shared" si="163"/>
        <v>0</v>
      </c>
      <c r="M60" s="221">
        <f t="shared" si="163"/>
        <v>0</v>
      </c>
      <c r="N60" s="221">
        <f t="shared" si="163"/>
        <v>0</v>
      </c>
      <c r="O60" s="221">
        <f t="shared" si="163"/>
        <v>0</v>
      </c>
      <c r="P60" s="221">
        <f t="shared" si="163"/>
        <v>0</v>
      </c>
      <c r="Q60" s="221">
        <f t="shared" si="163"/>
        <v>0</v>
      </c>
      <c r="R60" s="221">
        <f t="shared" si="163"/>
        <v>0</v>
      </c>
      <c r="S60" s="221">
        <f t="shared" si="163"/>
        <v>0</v>
      </c>
      <c r="T60" s="221">
        <f t="shared" si="163"/>
        <v>0</v>
      </c>
      <c r="U60" s="221">
        <f t="shared" si="163"/>
        <v>0</v>
      </c>
      <c r="V60" s="221">
        <f t="shared" si="163"/>
        <v>0</v>
      </c>
      <c r="W60" s="221">
        <f t="shared" si="163"/>
        <v>0</v>
      </c>
      <c r="X60" s="221">
        <f t="shared" si="163"/>
        <v>0</v>
      </c>
      <c r="Y60" s="221">
        <f t="shared" si="163"/>
        <v>0</v>
      </c>
      <c r="Z60" s="221">
        <f t="shared" si="163"/>
        <v>0</v>
      </c>
      <c r="AA60" s="221">
        <f t="shared" si="163"/>
        <v>0</v>
      </c>
      <c r="AB60" s="221">
        <f t="shared" si="163"/>
        <v>0</v>
      </c>
      <c r="AC60" s="221">
        <f t="shared" si="163"/>
        <v>0</v>
      </c>
      <c r="AD60" s="221">
        <f t="shared" si="163"/>
        <v>0</v>
      </c>
      <c r="AE60" s="221">
        <f t="shared" si="163"/>
        <v>0</v>
      </c>
      <c r="AF60" s="221">
        <f t="shared" si="163"/>
        <v>0</v>
      </c>
      <c r="AG60" s="221">
        <f t="shared" ref="AG60" si="164">AF60+AG57+AG59</f>
        <v>0</v>
      </c>
      <c r="AH60" s="221">
        <f t="shared" ref="AH60" si="165">AG60+AH57+AH59</f>
        <v>0</v>
      </c>
      <c r="AI60" s="221">
        <f t="shared" ref="AI60" si="166">AH60+AI57+AI59</f>
        <v>0</v>
      </c>
      <c r="AJ60" s="221">
        <f t="shared" ref="AJ60" si="167">AI60+AJ57+AJ59</f>
        <v>0</v>
      </c>
      <c r="AK60" s="221">
        <f t="shared" ref="AK60" si="168">AJ60+AK57+AK59</f>
        <v>0</v>
      </c>
      <c r="AL60" s="221">
        <f t="shared" ref="AL60" si="169">AK60+AL57+AL59</f>
        <v>0</v>
      </c>
      <c r="AM60" s="221">
        <f t="shared" ref="AM60" si="170">AL60+AM57+AM59</f>
        <v>0</v>
      </c>
      <c r="AN60" s="221">
        <f t="shared" ref="AN60" si="171">AM60+AN57+AN59</f>
        <v>0</v>
      </c>
      <c r="AO60" s="221">
        <f t="shared" ref="AO60" si="172">AN60+AO57+AO59</f>
        <v>0</v>
      </c>
      <c r="AP60" s="221">
        <f t="shared" ref="AP60" si="173">AO60+AP57+AP59</f>
        <v>0</v>
      </c>
      <c r="AQ60" s="221">
        <f t="shared" ref="AQ60" si="174">AP60+AQ57+AQ59</f>
        <v>0</v>
      </c>
    </row>
    <row r="62" spans="2:43">
      <c r="B62" s="1" t="s">
        <v>313</v>
      </c>
    </row>
  </sheetData>
  <phoneticPr fontId="7" type="noConversion"/>
  <conditionalFormatting sqref="D42:AQ42">
    <cfRule type="cellIs" dxfId="6" priority="4" stopIfTrue="1" operator="lessThan">
      <formula>0</formula>
    </cfRule>
  </conditionalFormatting>
  <conditionalFormatting sqref="D44:AQ44">
    <cfRule type="cellIs" dxfId="5" priority="3" stopIfTrue="1" operator="lessThan">
      <formula>0</formula>
    </cfRule>
  </conditionalFormatting>
  <conditionalFormatting sqref="D58:AQ58">
    <cfRule type="cellIs" dxfId="4" priority="2" stopIfTrue="1" operator="lessThan">
      <formula>0</formula>
    </cfRule>
  </conditionalFormatting>
  <conditionalFormatting sqref="D60:AQ60">
    <cfRule type="cellIs" dxfId="3" priority="1" stopIfTrue="1" operator="lessThan">
      <formula>0</formula>
    </cfRule>
  </conditionalFormatting>
  <pageMargins left="0.24791666666666667" right="0.1953125" top="1" bottom="1" header="0.5" footer="0.5"/>
  <pageSetup scale="70" orientation="landscape" r:id="rId1"/>
  <headerFooter alignWithMargins="0">
    <oddHeader>&amp;LPríloha 7: Štandardné tabuľky - Cesty
&amp;"Arial,Tučné"&amp;12 06 Finančná analýza</oddHeader>
    <oddFooter>Strana &amp;P z &amp;N</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B1:AT104"/>
  <sheetViews>
    <sheetView zoomScale="80" zoomScaleNormal="80" workbookViewId="0">
      <pane ySplit="12" topLeftCell="A13" activePane="bottomLeft" state="frozen"/>
      <selection pane="bottomLeft" activeCell="J83" sqref="J83"/>
    </sheetView>
  </sheetViews>
  <sheetFormatPr defaultColWidth="9.140625" defaultRowHeight="15" outlineLevelRow="1"/>
  <cols>
    <col min="1" max="1" width="1.7109375" style="330" customWidth="1"/>
    <col min="2" max="2" width="73.28515625" style="330" customWidth="1"/>
    <col min="3" max="3" width="36.42578125" style="330" customWidth="1"/>
    <col min="4" max="4" width="53.7109375" style="330" customWidth="1"/>
    <col min="5" max="5" width="28.85546875" style="330" customWidth="1"/>
    <col min="6" max="6" width="29.85546875" style="330" customWidth="1"/>
    <col min="7" max="7" width="10.85546875" style="330" bestFit="1" customWidth="1"/>
    <col min="8" max="22" width="9.85546875" style="330" bestFit="1" customWidth="1"/>
    <col min="23" max="36" width="12.42578125" style="330" customWidth="1"/>
    <col min="37" max="16384" width="9.140625" style="330"/>
  </cols>
  <sheetData>
    <row r="1" spans="2:46">
      <c r="B1" s="994" t="s">
        <v>809</v>
      </c>
      <c r="C1" s="994"/>
      <c r="D1" s="994"/>
      <c r="E1" s="994"/>
      <c r="F1" s="994"/>
      <c r="G1" s="496">
        <v>1</v>
      </c>
      <c r="H1" s="496">
        <v>2</v>
      </c>
      <c r="I1" s="496">
        <v>3</v>
      </c>
      <c r="J1" s="496">
        <v>4</v>
      </c>
      <c r="K1" s="496">
        <v>5</v>
      </c>
      <c r="L1" s="496">
        <v>6</v>
      </c>
      <c r="M1" s="496">
        <v>7</v>
      </c>
      <c r="N1" s="496">
        <v>8</v>
      </c>
      <c r="O1" s="496">
        <v>9</v>
      </c>
      <c r="P1" s="496">
        <v>10</v>
      </c>
      <c r="Q1" s="496">
        <v>11</v>
      </c>
      <c r="R1" s="496">
        <v>12</v>
      </c>
      <c r="S1" s="496">
        <v>13</v>
      </c>
      <c r="T1" s="496">
        <v>14</v>
      </c>
      <c r="U1" s="496">
        <v>15</v>
      </c>
      <c r="V1" s="496">
        <v>16</v>
      </c>
      <c r="W1" s="496">
        <v>17</v>
      </c>
      <c r="X1" s="496">
        <v>18</v>
      </c>
      <c r="Y1" s="496">
        <v>19</v>
      </c>
      <c r="Z1" s="496">
        <v>20</v>
      </c>
      <c r="AA1" s="496">
        <v>21</v>
      </c>
      <c r="AB1" s="496">
        <v>22</v>
      </c>
      <c r="AC1" s="496">
        <v>23</v>
      </c>
      <c r="AD1" s="496">
        <v>24</v>
      </c>
      <c r="AE1" s="496">
        <v>25</v>
      </c>
      <c r="AF1" s="496">
        <v>26</v>
      </c>
      <c r="AG1" s="496">
        <v>27</v>
      </c>
      <c r="AH1" s="496">
        <v>28</v>
      </c>
      <c r="AI1" s="496">
        <v>29</v>
      </c>
      <c r="AJ1" s="496">
        <v>30</v>
      </c>
      <c r="AK1" s="496">
        <v>31</v>
      </c>
      <c r="AL1" s="496">
        <v>32</v>
      </c>
      <c r="AM1" s="496">
        <v>33</v>
      </c>
      <c r="AN1" s="496">
        <v>34</v>
      </c>
      <c r="AO1" s="496">
        <v>35</v>
      </c>
      <c r="AP1" s="496">
        <v>36</v>
      </c>
      <c r="AQ1" s="496">
        <v>37</v>
      </c>
      <c r="AR1" s="496">
        <v>38</v>
      </c>
      <c r="AS1" s="496">
        <v>39</v>
      </c>
      <c r="AT1" s="496">
        <v>40</v>
      </c>
    </row>
    <row r="2" spans="2:46" ht="15.75" thickBot="1">
      <c r="G2" s="497">
        <f>Parametre!C11</f>
        <v>2024</v>
      </c>
      <c r="H2" s="497">
        <f t="shared" ref="H2:AT2" si="0">G2+1</f>
        <v>2025</v>
      </c>
      <c r="I2" s="497">
        <f t="shared" si="0"/>
        <v>2026</v>
      </c>
      <c r="J2" s="624">
        <f t="shared" si="0"/>
        <v>2027</v>
      </c>
      <c r="K2" s="498">
        <f t="shared" si="0"/>
        <v>2028</v>
      </c>
      <c r="L2" s="497">
        <f t="shared" si="0"/>
        <v>2029</v>
      </c>
      <c r="M2" s="497">
        <f t="shared" si="0"/>
        <v>2030</v>
      </c>
      <c r="N2" s="497">
        <f t="shared" si="0"/>
        <v>2031</v>
      </c>
      <c r="O2" s="497">
        <f t="shared" si="0"/>
        <v>2032</v>
      </c>
      <c r="P2" s="497">
        <f t="shared" si="0"/>
        <v>2033</v>
      </c>
      <c r="Q2" s="497">
        <f t="shared" si="0"/>
        <v>2034</v>
      </c>
      <c r="R2" s="497">
        <f t="shared" si="0"/>
        <v>2035</v>
      </c>
      <c r="S2" s="497">
        <f t="shared" si="0"/>
        <v>2036</v>
      </c>
      <c r="T2" s="497">
        <f t="shared" si="0"/>
        <v>2037</v>
      </c>
      <c r="U2" s="497">
        <f t="shared" si="0"/>
        <v>2038</v>
      </c>
      <c r="V2" s="497">
        <f t="shared" si="0"/>
        <v>2039</v>
      </c>
      <c r="W2" s="497">
        <f t="shared" si="0"/>
        <v>2040</v>
      </c>
      <c r="X2" s="497">
        <f t="shared" si="0"/>
        <v>2041</v>
      </c>
      <c r="Y2" s="497">
        <f t="shared" si="0"/>
        <v>2042</v>
      </c>
      <c r="Z2" s="497">
        <f t="shared" si="0"/>
        <v>2043</v>
      </c>
      <c r="AA2" s="497">
        <f t="shared" si="0"/>
        <v>2044</v>
      </c>
      <c r="AB2" s="497">
        <f t="shared" si="0"/>
        <v>2045</v>
      </c>
      <c r="AC2" s="497">
        <f t="shared" si="0"/>
        <v>2046</v>
      </c>
      <c r="AD2" s="497">
        <f t="shared" si="0"/>
        <v>2047</v>
      </c>
      <c r="AE2" s="497">
        <f t="shared" si="0"/>
        <v>2048</v>
      </c>
      <c r="AF2" s="497">
        <f t="shared" si="0"/>
        <v>2049</v>
      </c>
      <c r="AG2" s="497">
        <f t="shared" si="0"/>
        <v>2050</v>
      </c>
      <c r="AH2" s="497">
        <f t="shared" si="0"/>
        <v>2051</v>
      </c>
      <c r="AI2" s="497">
        <f t="shared" si="0"/>
        <v>2052</v>
      </c>
      <c r="AJ2" s="497">
        <f t="shared" si="0"/>
        <v>2053</v>
      </c>
      <c r="AK2" s="497">
        <f t="shared" si="0"/>
        <v>2054</v>
      </c>
      <c r="AL2" s="497">
        <f t="shared" si="0"/>
        <v>2055</v>
      </c>
      <c r="AM2" s="497">
        <f t="shared" si="0"/>
        <v>2056</v>
      </c>
      <c r="AN2" s="497">
        <f t="shared" si="0"/>
        <v>2057</v>
      </c>
      <c r="AO2" s="497">
        <f t="shared" si="0"/>
        <v>2058</v>
      </c>
      <c r="AP2" s="497">
        <f t="shared" si="0"/>
        <v>2059</v>
      </c>
      <c r="AQ2" s="497">
        <f t="shared" si="0"/>
        <v>2060</v>
      </c>
      <c r="AR2" s="497">
        <f t="shared" si="0"/>
        <v>2061</v>
      </c>
      <c r="AS2" s="497">
        <f t="shared" si="0"/>
        <v>2062</v>
      </c>
      <c r="AT2" s="497">
        <f t="shared" si="0"/>
        <v>2063</v>
      </c>
    </row>
    <row r="3" spans="2:46" ht="42" customHeight="1">
      <c r="B3" s="499" t="s">
        <v>810</v>
      </c>
      <c r="C3" s="500"/>
      <c r="D3" s="500"/>
      <c r="E3" s="500"/>
      <c r="F3" s="500"/>
      <c r="G3" s="500"/>
      <c r="H3" s="500"/>
      <c r="I3" s="500"/>
      <c r="J3" s="500"/>
      <c r="K3" s="500"/>
      <c r="L3" s="500"/>
      <c r="M3" s="500"/>
      <c r="N3" s="500"/>
      <c r="O3" s="500"/>
      <c r="P3" s="500"/>
      <c r="Q3" s="500"/>
      <c r="R3" s="500"/>
      <c r="S3" s="500"/>
      <c r="T3" s="500"/>
      <c r="U3" s="500"/>
      <c r="V3" s="500"/>
      <c r="W3" s="500"/>
      <c r="X3" s="500"/>
      <c r="Y3" s="500"/>
      <c r="Z3" s="500"/>
      <c r="AA3" s="500"/>
      <c r="AB3" s="500"/>
      <c r="AC3" s="500"/>
      <c r="AD3" s="500"/>
      <c r="AE3" s="500"/>
      <c r="AF3" s="500"/>
      <c r="AG3" s="501"/>
      <c r="AH3" s="501"/>
      <c r="AI3" s="501"/>
      <c r="AJ3" s="501"/>
      <c r="AK3" s="501"/>
      <c r="AL3" s="501"/>
      <c r="AM3" s="501"/>
      <c r="AN3" s="501"/>
      <c r="AO3" s="501"/>
      <c r="AP3" s="501"/>
      <c r="AQ3" s="501"/>
      <c r="AR3" s="501"/>
      <c r="AS3" s="501"/>
      <c r="AT3" s="502"/>
    </row>
    <row r="4" spans="2:46" s="391" customFormat="1" ht="24.75" customHeight="1">
      <c r="B4" s="781" t="s">
        <v>811</v>
      </c>
      <c r="C4" s="995"/>
      <c r="D4" s="995"/>
      <c r="E4" s="995" t="s">
        <v>812</v>
      </c>
      <c r="F4" s="995"/>
      <c r="G4" s="503">
        <f t="shared" ref="G4:AT4" si="1">G28/2</f>
        <v>0</v>
      </c>
      <c r="H4" s="503">
        <f t="shared" si="1"/>
        <v>0</v>
      </c>
      <c r="I4" s="503">
        <f t="shared" si="1"/>
        <v>0</v>
      </c>
      <c r="J4" s="503">
        <f t="shared" si="1"/>
        <v>0</v>
      </c>
      <c r="K4" s="503">
        <f t="shared" si="1"/>
        <v>0</v>
      </c>
      <c r="L4" s="503">
        <f t="shared" si="1"/>
        <v>0</v>
      </c>
      <c r="M4" s="503">
        <f t="shared" si="1"/>
        <v>0</v>
      </c>
      <c r="N4" s="503">
        <f t="shared" si="1"/>
        <v>0</v>
      </c>
      <c r="O4" s="503">
        <f t="shared" si="1"/>
        <v>0</v>
      </c>
      <c r="P4" s="503">
        <f t="shared" si="1"/>
        <v>0</v>
      </c>
      <c r="Q4" s="503">
        <f t="shared" si="1"/>
        <v>0</v>
      </c>
      <c r="R4" s="503">
        <f t="shared" si="1"/>
        <v>0</v>
      </c>
      <c r="S4" s="503">
        <f t="shared" si="1"/>
        <v>0</v>
      </c>
      <c r="T4" s="503">
        <f t="shared" si="1"/>
        <v>0</v>
      </c>
      <c r="U4" s="503">
        <f t="shared" si="1"/>
        <v>0</v>
      </c>
      <c r="V4" s="503">
        <f t="shared" si="1"/>
        <v>0</v>
      </c>
      <c r="W4" s="503">
        <f t="shared" si="1"/>
        <v>0</v>
      </c>
      <c r="X4" s="503">
        <f t="shared" si="1"/>
        <v>0</v>
      </c>
      <c r="Y4" s="503">
        <f t="shared" si="1"/>
        <v>0</v>
      </c>
      <c r="Z4" s="503">
        <f t="shared" si="1"/>
        <v>0</v>
      </c>
      <c r="AA4" s="503">
        <f t="shared" si="1"/>
        <v>0</v>
      </c>
      <c r="AB4" s="503">
        <f t="shared" si="1"/>
        <v>0</v>
      </c>
      <c r="AC4" s="503">
        <f t="shared" si="1"/>
        <v>0</v>
      </c>
      <c r="AD4" s="503">
        <f t="shared" si="1"/>
        <v>0</v>
      </c>
      <c r="AE4" s="503">
        <f t="shared" si="1"/>
        <v>0</v>
      </c>
      <c r="AF4" s="503">
        <f t="shared" si="1"/>
        <v>0</v>
      </c>
      <c r="AG4" s="504">
        <f t="shared" si="1"/>
        <v>0</v>
      </c>
      <c r="AH4" s="504">
        <f t="shared" si="1"/>
        <v>0</v>
      </c>
      <c r="AI4" s="504">
        <f t="shared" si="1"/>
        <v>0</v>
      </c>
      <c r="AJ4" s="510">
        <f t="shared" si="1"/>
        <v>0</v>
      </c>
      <c r="AK4" s="504">
        <f t="shared" si="1"/>
        <v>0</v>
      </c>
      <c r="AL4" s="504">
        <f t="shared" si="1"/>
        <v>0</v>
      </c>
      <c r="AM4" s="504">
        <f t="shared" si="1"/>
        <v>0</v>
      </c>
      <c r="AN4" s="504">
        <f t="shared" si="1"/>
        <v>0</v>
      </c>
      <c r="AO4" s="504">
        <f t="shared" si="1"/>
        <v>0</v>
      </c>
      <c r="AP4" s="504">
        <f t="shared" si="1"/>
        <v>0</v>
      </c>
      <c r="AQ4" s="504">
        <f t="shared" si="1"/>
        <v>0</v>
      </c>
      <c r="AR4" s="504">
        <f t="shared" si="1"/>
        <v>0</v>
      </c>
      <c r="AS4" s="504">
        <f t="shared" si="1"/>
        <v>0</v>
      </c>
      <c r="AT4" s="505">
        <f t="shared" si="1"/>
        <v>0</v>
      </c>
    </row>
    <row r="5" spans="2:46" s="391" customFormat="1" ht="24.75" customHeight="1">
      <c r="B5" s="781" t="s">
        <v>813</v>
      </c>
      <c r="C5" s="996"/>
      <c r="D5" s="996"/>
      <c r="E5" s="996" t="s">
        <v>812</v>
      </c>
      <c r="F5" s="996"/>
      <c r="G5" s="503">
        <f t="shared" ref="G5:AT5" si="2">G41</f>
        <v>0</v>
      </c>
      <c r="H5" s="503">
        <f t="shared" si="2"/>
        <v>0</v>
      </c>
      <c r="I5" s="503">
        <f t="shared" si="2"/>
        <v>0</v>
      </c>
      <c r="J5" s="503">
        <f t="shared" si="2"/>
        <v>28475.548707269048</v>
      </c>
      <c r="K5" s="503">
        <f t="shared" si="2"/>
        <v>114083.53912093185</v>
      </c>
      <c r="L5" s="503">
        <f t="shared" si="2"/>
        <v>114246.10492254767</v>
      </c>
      <c r="M5" s="503">
        <f t="shared" si="2"/>
        <v>114386.42871656203</v>
      </c>
      <c r="N5" s="503">
        <f t="shared" si="2"/>
        <v>114543.35765732454</v>
      </c>
      <c r="O5" s="503">
        <f t="shared" si="2"/>
        <v>114688.18997274057</v>
      </c>
      <c r="P5" s="503">
        <f t="shared" si="2"/>
        <v>114812.54142864251</v>
      </c>
      <c r="Q5" s="503">
        <f t="shared" si="2"/>
        <v>114915.69684769267</v>
      </c>
      <c r="R5" s="503">
        <f t="shared" si="2"/>
        <v>115005.16628645312</v>
      </c>
      <c r="S5" s="503">
        <f t="shared" si="2"/>
        <v>115018.54997357784</v>
      </c>
      <c r="T5" s="503">
        <f t="shared" si="2"/>
        <v>114955.77092916898</v>
      </c>
      <c r="U5" s="503">
        <f t="shared" si="2"/>
        <v>114816.90341627989</v>
      </c>
      <c r="V5" s="503">
        <f t="shared" si="2"/>
        <v>114602.17286202985</v>
      </c>
      <c r="W5" s="503">
        <f t="shared" si="2"/>
        <v>114311.9552781598</v>
      </c>
      <c r="X5" s="503">
        <f t="shared" si="2"/>
        <v>113917.55340910441</v>
      </c>
      <c r="Y5" s="503">
        <f t="shared" si="2"/>
        <v>113419.95505424406</v>
      </c>
      <c r="Z5" s="503">
        <f t="shared" si="2"/>
        <v>112820.42966305323</v>
      </c>
      <c r="AA5" s="503">
        <f t="shared" si="2"/>
        <v>112120.52296142299</v>
      </c>
      <c r="AB5" s="503">
        <f t="shared" si="2"/>
        <v>111322.05032371065</v>
      </c>
      <c r="AC5" s="503">
        <f t="shared" si="2"/>
        <v>110382.48836192304</v>
      </c>
      <c r="AD5" s="503">
        <f t="shared" si="2"/>
        <v>109305.31939702114</v>
      </c>
      <c r="AE5" s="503">
        <f t="shared" si="2"/>
        <v>108094.54524700607</v>
      </c>
      <c r="AF5" s="503">
        <f t="shared" si="2"/>
        <v>106754.66242233368</v>
      </c>
      <c r="AG5" s="503">
        <f t="shared" si="2"/>
        <v>105290.63423675508</v>
      </c>
      <c r="AH5" s="503">
        <f t="shared" si="2"/>
        <v>103648.48712386568</v>
      </c>
      <c r="AI5" s="503">
        <f t="shared" si="2"/>
        <v>101836.84601966848</v>
      </c>
      <c r="AJ5" s="504">
        <f t="shared" si="2"/>
        <v>99865.174735162349</v>
      </c>
      <c r="AK5" s="782">
        <f t="shared" si="2"/>
        <v>97743.69319476097</v>
      </c>
      <c r="AL5" s="782">
        <f t="shared" si="2"/>
        <v>95483.288693199502</v>
      </c>
      <c r="AM5" s="782">
        <f t="shared" si="2"/>
        <v>93024.263295393757</v>
      </c>
      <c r="AN5" s="782">
        <f t="shared" si="2"/>
        <v>90384.133017403714</v>
      </c>
      <c r="AO5" s="782">
        <f t="shared" si="2"/>
        <v>87581.4364378834</v>
      </c>
      <c r="AP5" s="782">
        <f t="shared" si="2"/>
        <v>84635.516201192688</v>
      </c>
      <c r="AQ5" s="782">
        <f t="shared" si="2"/>
        <v>81566.29500935656</v>
      </c>
      <c r="AR5" s="782">
        <f t="shared" si="2"/>
        <v>78396.932595705628</v>
      </c>
      <c r="AS5" s="782">
        <f t="shared" si="2"/>
        <v>75147.492229212003</v>
      </c>
      <c r="AT5" s="783">
        <f t="shared" si="2"/>
        <v>71837.932367545975</v>
      </c>
    </row>
    <row r="6" spans="2:46" ht="8.25" customHeight="1">
      <c r="B6" s="506"/>
      <c r="C6" s="784"/>
      <c r="D6" s="785"/>
      <c r="E6" s="784"/>
      <c r="F6" s="785"/>
      <c r="G6" s="784"/>
      <c r="H6" s="784"/>
      <c r="I6" s="784"/>
      <c r="J6" s="784"/>
      <c r="K6" s="784"/>
      <c r="L6" s="784"/>
      <c r="M6" s="784"/>
      <c r="N6" s="784"/>
      <c r="O6" s="784"/>
      <c r="P6" s="784"/>
      <c r="Q6" s="784"/>
      <c r="R6" s="784"/>
      <c r="S6" s="784"/>
      <c r="T6" s="784"/>
      <c r="U6" s="784"/>
      <c r="V6" s="784"/>
      <c r="W6" s="784"/>
      <c r="X6" s="784"/>
      <c r="Y6" s="784"/>
      <c r="Z6" s="784"/>
      <c r="AA6" s="784"/>
      <c r="AB6" s="784"/>
      <c r="AC6" s="784"/>
      <c r="AD6" s="784"/>
      <c r="AE6" s="784"/>
      <c r="AF6" s="784"/>
      <c r="AG6" s="507"/>
      <c r="AH6" s="507"/>
      <c r="AI6" s="508"/>
      <c r="AJ6" s="508"/>
      <c r="AK6" s="508"/>
      <c r="AL6" s="508"/>
      <c r="AM6" s="508"/>
      <c r="AN6" s="508"/>
      <c r="AO6" s="508"/>
      <c r="AP6" s="508"/>
      <c r="AQ6" s="508"/>
      <c r="AR6" s="508"/>
      <c r="AS6" s="508"/>
      <c r="AT6" s="509"/>
    </row>
    <row r="7" spans="2:46" s="391" customFormat="1" ht="24.75" customHeight="1">
      <c r="B7" s="786" t="s">
        <v>814</v>
      </c>
      <c r="C7" s="999"/>
      <c r="D7" s="999"/>
      <c r="E7" s="999" t="s">
        <v>812</v>
      </c>
      <c r="F7" s="999"/>
      <c r="G7" s="510">
        <f t="shared" ref="G7:AT7" si="3">G54/2</f>
        <v>0</v>
      </c>
      <c r="H7" s="510">
        <f t="shared" si="3"/>
        <v>0</v>
      </c>
      <c r="I7" s="510">
        <f t="shared" si="3"/>
        <v>0</v>
      </c>
      <c r="J7" s="510">
        <f t="shared" si="3"/>
        <v>0</v>
      </c>
      <c r="K7" s="510">
        <f t="shared" si="3"/>
        <v>0</v>
      </c>
      <c r="L7" s="510">
        <f t="shared" si="3"/>
        <v>0</v>
      </c>
      <c r="M7" s="510">
        <f t="shared" si="3"/>
        <v>0</v>
      </c>
      <c r="N7" s="510">
        <f t="shared" si="3"/>
        <v>0</v>
      </c>
      <c r="O7" s="510">
        <f t="shared" si="3"/>
        <v>0</v>
      </c>
      <c r="P7" s="510">
        <f t="shared" si="3"/>
        <v>0</v>
      </c>
      <c r="Q7" s="510">
        <f t="shared" si="3"/>
        <v>0</v>
      </c>
      <c r="R7" s="510">
        <f t="shared" si="3"/>
        <v>0</v>
      </c>
      <c r="S7" s="510">
        <f t="shared" si="3"/>
        <v>0</v>
      </c>
      <c r="T7" s="510">
        <f t="shared" si="3"/>
        <v>0</v>
      </c>
      <c r="U7" s="510">
        <f t="shared" si="3"/>
        <v>0</v>
      </c>
      <c r="V7" s="510">
        <f t="shared" si="3"/>
        <v>0</v>
      </c>
      <c r="W7" s="510">
        <f t="shared" si="3"/>
        <v>0</v>
      </c>
      <c r="X7" s="510">
        <f t="shared" si="3"/>
        <v>0</v>
      </c>
      <c r="Y7" s="510">
        <f t="shared" si="3"/>
        <v>0</v>
      </c>
      <c r="Z7" s="510">
        <f t="shared" si="3"/>
        <v>0</v>
      </c>
      <c r="AA7" s="510">
        <f t="shared" si="3"/>
        <v>0</v>
      </c>
      <c r="AB7" s="510">
        <f t="shared" si="3"/>
        <v>0</v>
      </c>
      <c r="AC7" s="510">
        <f t="shared" si="3"/>
        <v>0</v>
      </c>
      <c r="AD7" s="510">
        <f t="shared" si="3"/>
        <v>0</v>
      </c>
      <c r="AE7" s="510">
        <f t="shared" si="3"/>
        <v>0</v>
      </c>
      <c r="AF7" s="510">
        <f t="shared" si="3"/>
        <v>0</v>
      </c>
      <c r="AG7" s="510">
        <f t="shared" si="3"/>
        <v>0</v>
      </c>
      <c r="AH7" s="510">
        <f t="shared" si="3"/>
        <v>0</v>
      </c>
      <c r="AI7" s="782">
        <f t="shared" si="3"/>
        <v>0</v>
      </c>
      <c r="AJ7" s="510">
        <f t="shared" si="3"/>
        <v>0</v>
      </c>
      <c r="AK7" s="782">
        <f t="shared" si="3"/>
        <v>0</v>
      </c>
      <c r="AL7" s="782">
        <f t="shared" si="3"/>
        <v>0</v>
      </c>
      <c r="AM7" s="782">
        <f t="shared" si="3"/>
        <v>0</v>
      </c>
      <c r="AN7" s="782">
        <f t="shared" si="3"/>
        <v>0</v>
      </c>
      <c r="AO7" s="782">
        <f t="shared" si="3"/>
        <v>0</v>
      </c>
      <c r="AP7" s="782">
        <f t="shared" si="3"/>
        <v>0</v>
      </c>
      <c r="AQ7" s="782">
        <f t="shared" si="3"/>
        <v>0</v>
      </c>
      <c r="AR7" s="782">
        <f t="shared" si="3"/>
        <v>0</v>
      </c>
      <c r="AS7" s="782">
        <f t="shared" si="3"/>
        <v>0</v>
      </c>
      <c r="AT7" s="783">
        <f t="shared" si="3"/>
        <v>0</v>
      </c>
    </row>
    <row r="8" spans="2:46" ht="8.25" customHeight="1">
      <c r="B8" s="787"/>
      <c r="C8" s="784"/>
      <c r="D8" s="785"/>
      <c r="E8" s="784"/>
      <c r="F8" s="785"/>
      <c r="G8" s="784"/>
      <c r="H8" s="784"/>
      <c r="I8" s="784"/>
      <c r="J8" s="784"/>
      <c r="K8" s="784"/>
      <c r="L8" s="784"/>
      <c r="M8" s="784"/>
      <c r="N8" s="784"/>
      <c r="O8" s="784"/>
      <c r="P8" s="784"/>
      <c r="Q8" s="784"/>
      <c r="R8" s="784"/>
      <c r="S8" s="784"/>
      <c r="T8" s="784"/>
      <c r="U8" s="784"/>
      <c r="V8" s="784"/>
      <c r="W8" s="784"/>
      <c r="X8" s="784"/>
      <c r="Y8" s="784"/>
      <c r="Z8" s="784"/>
      <c r="AA8" s="784"/>
      <c r="AB8" s="784"/>
      <c r="AC8" s="784"/>
      <c r="AD8" s="784"/>
      <c r="AE8" s="784"/>
      <c r="AF8" s="784"/>
      <c r="AG8" s="784"/>
      <c r="AH8" s="784"/>
      <c r="AI8" s="784"/>
      <c r="AJ8" s="784"/>
      <c r="AK8" s="784"/>
      <c r="AL8" s="784"/>
      <c r="AM8" s="784"/>
      <c r="AN8" s="784"/>
      <c r="AO8" s="784"/>
      <c r="AP8" s="784"/>
      <c r="AQ8" s="784"/>
      <c r="AR8" s="784"/>
      <c r="AS8" s="784"/>
      <c r="AT8" s="511"/>
    </row>
    <row r="9" spans="2:46" s="391" customFormat="1" ht="24.75" customHeight="1">
      <c r="B9" s="786" t="s">
        <v>815</v>
      </c>
      <c r="C9" s="999"/>
      <c r="D9" s="999"/>
      <c r="E9" s="999" t="s">
        <v>812</v>
      </c>
      <c r="F9" s="999"/>
      <c r="G9" s="510">
        <f t="shared" ref="G9:AT9" si="4">G66</f>
        <v>0</v>
      </c>
      <c r="H9" s="510">
        <f t="shared" si="4"/>
        <v>0</v>
      </c>
      <c r="I9" s="510">
        <f t="shared" si="4"/>
        <v>0</v>
      </c>
      <c r="J9" s="510">
        <f t="shared" si="4"/>
        <v>0</v>
      </c>
      <c r="K9" s="510">
        <f t="shared" si="4"/>
        <v>0</v>
      </c>
      <c r="L9" s="510">
        <f t="shared" si="4"/>
        <v>0</v>
      </c>
      <c r="M9" s="510">
        <f t="shared" si="4"/>
        <v>0</v>
      </c>
      <c r="N9" s="510">
        <f t="shared" si="4"/>
        <v>0</v>
      </c>
      <c r="O9" s="510">
        <f t="shared" si="4"/>
        <v>0</v>
      </c>
      <c r="P9" s="510">
        <f t="shared" si="4"/>
        <v>0</v>
      </c>
      <c r="Q9" s="510">
        <f t="shared" si="4"/>
        <v>0</v>
      </c>
      <c r="R9" s="510">
        <f t="shared" si="4"/>
        <v>0</v>
      </c>
      <c r="S9" s="510">
        <f t="shared" si="4"/>
        <v>0</v>
      </c>
      <c r="T9" s="510">
        <f t="shared" si="4"/>
        <v>0</v>
      </c>
      <c r="U9" s="510">
        <f t="shared" si="4"/>
        <v>0</v>
      </c>
      <c r="V9" s="510">
        <f t="shared" si="4"/>
        <v>0</v>
      </c>
      <c r="W9" s="510">
        <f t="shared" si="4"/>
        <v>0</v>
      </c>
      <c r="X9" s="510">
        <f t="shared" si="4"/>
        <v>0</v>
      </c>
      <c r="Y9" s="510">
        <f t="shared" si="4"/>
        <v>0</v>
      </c>
      <c r="Z9" s="510">
        <f t="shared" si="4"/>
        <v>0</v>
      </c>
      <c r="AA9" s="510">
        <f t="shared" si="4"/>
        <v>0</v>
      </c>
      <c r="AB9" s="510">
        <f t="shared" si="4"/>
        <v>0</v>
      </c>
      <c r="AC9" s="510">
        <f t="shared" si="4"/>
        <v>0</v>
      </c>
      <c r="AD9" s="510">
        <f t="shared" si="4"/>
        <v>0</v>
      </c>
      <c r="AE9" s="510">
        <f t="shared" si="4"/>
        <v>0</v>
      </c>
      <c r="AF9" s="510">
        <f t="shared" si="4"/>
        <v>0</v>
      </c>
      <c r="AG9" s="510">
        <f t="shared" si="4"/>
        <v>0</v>
      </c>
      <c r="AH9" s="510">
        <f t="shared" si="4"/>
        <v>0</v>
      </c>
      <c r="AI9" s="510">
        <f t="shared" si="4"/>
        <v>0</v>
      </c>
      <c r="AJ9" s="510">
        <f t="shared" si="4"/>
        <v>0</v>
      </c>
      <c r="AK9" s="510">
        <f t="shared" si="4"/>
        <v>0</v>
      </c>
      <c r="AL9" s="510">
        <f t="shared" si="4"/>
        <v>0</v>
      </c>
      <c r="AM9" s="510">
        <f t="shared" si="4"/>
        <v>0</v>
      </c>
      <c r="AN9" s="510">
        <f t="shared" si="4"/>
        <v>0</v>
      </c>
      <c r="AO9" s="510">
        <f t="shared" si="4"/>
        <v>0</v>
      </c>
      <c r="AP9" s="510">
        <f t="shared" si="4"/>
        <v>0</v>
      </c>
      <c r="AQ9" s="510">
        <f t="shared" si="4"/>
        <v>0</v>
      </c>
      <c r="AR9" s="510">
        <f t="shared" si="4"/>
        <v>0</v>
      </c>
      <c r="AS9" s="510">
        <f t="shared" si="4"/>
        <v>0</v>
      </c>
      <c r="AT9" s="512">
        <f t="shared" si="4"/>
        <v>0</v>
      </c>
    </row>
    <row r="10" spans="2:46" ht="8.25" customHeight="1">
      <c r="B10" s="787"/>
      <c r="C10" s="784"/>
      <c r="D10" s="785"/>
      <c r="E10" s="784"/>
      <c r="F10" s="785"/>
      <c r="G10" s="784"/>
      <c r="H10" s="784"/>
      <c r="I10" s="784"/>
      <c r="J10" s="784"/>
      <c r="K10" s="784"/>
      <c r="L10" s="784"/>
      <c r="M10" s="784"/>
      <c r="N10" s="784"/>
      <c r="O10" s="784"/>
      <c r="P10" s="784"/>
      <c r="Q10" s="784"/>
      <c r="R10" s="784"/>
      <c r="S10" s="784"/>
      <c r="T10" s="784"/>
      <c r="U10" s="784"/>
      <c r="V10" s="784"/>
      <c r="W10" s="784"/>
      <c r="X10" s="784"/>
      <c r="Y10" s="784"/>
      <c r="Z10" s="784"/>
      <c r="AA10" s="784"/>
      <c r="AB10" s="784"/>
      <c r="AC10" s="784"/>
      <c r="AD10" s="784"/>
      <c r="AE10" s="784"/>
      <c r="AF10" s="784"/>
      <c r="AG10" s="784"/>
      <c r="AH10" s="784"/>
      <c r="AI10" s="513"/>
      <c r="AJ10" s="784"/>
      <c r="AK10" s="513"/>
      <c r="AL10" s="513"/>
      <c r="AM10" s="513"/>
      <c r="AN10" s="513"/>
      <c r="AO10" s="513"/>
      <c r="AP10" s="513"/>
      <c r="AQ10" s="513"/>
      <c r="AR10" s="513"/>
      <c r="AS10" s="513"/>
      <c r="AT10" s="788"/>
    </row>
    <row r="11" spans="2:46" s="391" customFormat="1" ht="29.25" customHeight="1" thickBot="1">
      <c r="B11" s="789" t="s">
        <v>816</v>
      </c>
      <c r="C11" s="1000"/>
      <c r="D11" s="1000"/>
      <c r="E11" s="1000" t="s">
        <v>812</v>
      </c>
      <c r="F11" s="1000"/>
      <c r="G11" s="514">
        <f t="shared" ref="G11:AT11" si="5">G89</f>
        <v>630477.78295226896</v>
      </c>
      <c r="H11" s="514">
        <f t="shared" si="5"/>
        <v>631252.97888351325</v>
      </c>
      <c r="I11" s="514">
        <f t="shared" si="5"/>
        <v>632423.77117169439</v>
      </c>
      <c r="J11" s="514">
        <f t="shared" si="5"/>
        <v>633476.67848012503</v>
      </c>
      <c r="K11" s="514">
        <f t="shared" si="5"/>
        <v>634367.20943313756</v>
      </c>
      <c r="L11" s="514">
        <f t="shared" si="5"/>
        <v>635145.16374291084</v>
      </c>
      <c r="M11" s="514">
        <f t="shared" si="5"/>
        <v>635801.24937305844</v>
      </c>
      <c r="N11" s="514">
        <f t="shared" si="5"/>
        <v>636540.62129382719</v>
      </c>
      <c r="O11" s="514">
        <f t="shared" si="5"/>
        <v>637199.38326978136</v>
      </c>
      <c r="P11" s="514">
        <f t="shared" si="5"/>
        <v>637754.92256924172</v>
      </c>
      <c r="Q11" s="514">
        <f t="shared" si="5"/>
        <v>638196.3317109003</v>
      </c>
      <c r="R11" s="514">
        <f t="shared" si="5"/>
        <v>638553.37934851146</v>
      </c>
      <c r="S11" s="514">
        <f t="shared" si="5"/>
        <v>638487.97726185538</v>
      </c>
      <c r="T11" s="514">
        <f t="shared" si="5"/>
        <v>637999.97541070252</v>
      </c>
      <c r="U11" s="514">
        <f t="shared" si="5"/>
        <v>637090.06280997361</v>
      </c>
      <c r="V11" s="514">
        <f t="shared" si="5"/>
        <v>635759.76617604354</v>
      </c>
      <c r="W11" s="514">
        <f t="shared" si="5"/>
        <v>634011.44579996762</v>
      </c>
      <c r="X11" s="514">
        <f t="shared" si="5"/>
        <v>631686.24494120036</v>
      </c>
      <c r="Y11" s="514">
        <f t="shared" si="5"/>
        <v>628790.01625116891</v>
      </c>
      <c r="Z11" s="514">
        <f t="shared" si="5"/>
        <v>625330.16799943033</v>
      </c>
      <c r="AA11" s="514">
        <f t="shared" si="5"/>
        <v>621315.63261020347</v>
      </c>
      <c r="AB11" s="514">
        <f t="shared" si="5"/>
        <v>616756.82829352084</v>
      </c>
      <c r="AC11" s="514">
        <f t="shared" si="5"/>
        <v>611418.56742738304</v>
      </c>
      <c r="AD11" s="514">
        <f t="shared" si="5"/>
        <v>605320.64065033325</v>
      </c>
      <c r="AE11" s="514">
        <f t="shared" si="5"/>
        <v>598485.69720049831</v>
      </c>
      <c r="AF11" s="514">
        <f t="shared" si="5"/>
        <v>590939.10453496315</v>
      </c>
      <c r="AG11" s="514">
        <f t="shared" si="5"/>
        <v>582708.79106543807</v>
      </c>
      <c r="AH11" s="514">
        <f t="shared" si="5"/>
        <v>573496.55740325269</v>
      </c>
      <c r="AI11" s="515">
        <f t="shared" si="5"/>
        <v>563350.74994798144</v>
      </c>
      <c r="AJ11" s="514">
        <f t="shared" si="5"/>
        <v>552324.31221936177</v>
      </c>
      <c r="AK11" s="515">
        <f t="shared" si="5"/>
        <v>540474.32231823867</v>
      </c>
      <c r="AL11" s="515">
        <f t="shared" si="5"/>
        <v>527861.49792634195</v>
      </c>
      <c r="AM11" s="515">
        <f t="shared" si="5"/>
        <v>514156.37069579202</v>
      </c>
      <c r="AN11" s="515">
        <f t="shared" si="5"/>
        <v>499456.4345847395</v>
      </c>
      <c r="AO11" s="515">
        <f t="shared" si="5"/>
        <v>483864.74825950665</v>
      </c>
      <c r="AP11" s="515">
        <f t="shared" si="5"/>
        <v>467488.72233999928</v>
      </c>
      <c r="AQ11" s="515">
        <f t="shared" si="5"/>
        <v>450438.87778400641</v>
      </c>
      <c r="AR11" s="515">
        <f t="shared" si="5"/>
        <v>432843.51229506754</v>
      </c>
      <c r="AS11" s="515">
        <f t="shared" si="5"/>
        <v>414813.72051048669</v>
      </c>
      <c r="AT11" s="790">
        <f t="shared" si="5"/>
        <v>396459.92295882199</v>
      </c>
    </row>
    <row r="13" spans="2:46" ht="15" hidden="1" customHeight="1" outlineLevel="1">
      <c r="B13" s="1001" t="s">
        <v>817</v>
      </c>
      <c r="C13" s="1001"/>
      <c r="D13" s="516" t="str">
        <f>B92</f>
        <v>Prešov &lt;=&gt; Kapušany pri Prešove</v>
      </c>
      <c r="E13" s="1002" t="s">
        <v>818</v>
      </c>
      <c r="F13" s="1002"/>
      <c r="G13" s="796">
        <v>1.0019257891487445</v>
      </c>
      <c r="H13" s="796">
        <v>1.0017298788519484</v>
      </c>
      <c r="I13" s="796">
        <v>1.0024965056594823</v>
      </c>
      <c r="J13" s="796">
        <v>1.0023047187566911</v>
      </c>
      <c r="K13" s="796">
        <v>1.0020126945932737</v>
      </c>
      <c r="L13" s="796">
        <v>1.0018515505333019</v>
      </c>
      <c r="M13" s="796">
        <v>1.0016633157667778</v>
      </c>
      <c r="N13" s="796">
        <v>1.0018977214725386</v>
      </c>
      <c r="O13" s="796">
        <v>1.0018424843388836</v>
      </c>
      <c r="P13" s="796">
        <v>1.0016551862502503</v>
      </c>
      <c r="Q13" s="796">
        <v>1.0015022283053199</v>
      </c>
      <c r="R13" s="796">
        <v>1.0013721993522333</v>
      </c>
      <c r="S13" s="796">
        <v>1.0007094639454663</v>
      </c>
      <c r="T13" s="796">
        <v>1.0000467285386994</v>
      </c>
      <c r="U13" s="796">
        <v>0.99938399313193249</v>
      </c>
      <c r="V13" s="796">
        <v>0.99872125772516562</v>
      </c>
      <c r="W13" s="796">
        <v>0.99805852231839876</v>
      </c>
      <c r="X13" s="796">
        <v>0.99713999493152783</v>
      </c>
      <c r="Y13" s="796">
        <v>0.9962214675446569</v>
      </c>
      <c r="Z13" s="796">
        <v>0.99530294015778598</v>
      </c>
      <c r="AA13" s="796">
        <v>0.99438441277091505</v>
      </c>
      <c r="AB13" s="796">
        <v>0.9934658853840439</v>
      </c>
      <c r="AC13" s="796">
        <v>0.99214647650486709</v>
      </c>
      <c r="AD13" s="796">
        <v>0.99082706762569028</v>
      </c>
      <c r="AE13" s="796">
        <v>0.98950765874651347</v>
      </c>
      <c r="AF13" s="796">
        <v>0.98818824986733667</v>
      </c>
      <c r="AG13" s="796">
        <v>0.98686884098816008</v>
      </c>
      <c r="AH13" s="796">
        <v>0.98498520313551929</v>
      </c>
      <c r="AI13" s="796">
        <v>0.98310156528287851</v>
      </c>
      <c r="AJ13" s="796">
        <v>0.98121792743023772</v>
      </c>
      <c r="AK13" s="796">
        <v>0.97933428957759694</v>
      </c>
      <c r="AL13" s="796">
        <v>0.97745065172495604</v>
      </c>
      <c r="AM13" s="796">
        <v>0.97482132378050679</v>
      </c>
      <c r="AN13" s="796">
        <v>0.97219199583605753</v>
      </c>
      <c r="AO13" s="796">
        <v>0.96956266789160828</v>
      </c>
      <c r="AP13" s="796">
        <v>0.96693333994715902</v>
      </c>
      <c r="AQ13" s="796">
        <v>0.96430401200270977</v>
      </c>
      <c r="AR13" s="796">
        <v>0.96171004832666251</v>
      </c>
      <c r="AS13" s="796">
        <v>0.95911608465061526</v>
      </c>
      <c r="AT13" s="796">
        <v>0.95652212097456801</v>
      </c>
    </row>
    <row r="14" spans="2:46" ht="15" hidden="1" customHeight="1" outlineLevel="1">
      <c r="B14" s="1001"/>
      <c r="C14" s="1001"/>
      <c r="D14" s="516" t="str">
        <f t="shared" ref="D14:D15" si="6">B93</f>
        <v>Kapušany pri Prešove &lt;=&gt; Vranov nad Topľou</v>
      </c>
      <c r="E14" s="1002"/>
      <c r="F14" s="1002"/>
      <c r="G14" s="796">
        <v>1.0015111468678946</v>
      </c>
      <c r="H14" s="796">
        <v>1.0012969758387333</v>
      </c>
      <c r="I14" s="796">
        <v>1.0018806195294496</v>
      </c>
      <c r="J14" s="796">
        <v>1.0016626750450368</v>
      </c>
      <c r="K14" s="796">
        <v>1.0013886938118215</v>
      </c>
      <c r="L14" s="796">
        <v>1.00121686430351</v>
      </c>
      <c r="M14" s="796">
        <v>1.0010195435034723</v>
      </c>
      <c r="N14" s="796">
        <v>1.0011282313683951</v>
      </c>
      <c r="O14" s="796">
        <v>1.0009939139473567</v>
      </c>
      <c r="P14" s="796">
        <v>1.0008215380237018</v>
      </c>
      <c r="Q14" s="796">
        <v>1.0006239554828609</v>
      </c>
      <c r="R14" s="796">
        <v>1.0005104549387966</v>
      </c>
      <c r="S14" s="796">
        <v>0.99984828985796326</v>
      </c>
      <c r="T14" s="796">
        <v>0.99918612477712987</v>
      </c>
      <c r="U14" s="796">
        <v>0.99852395969629648</v>
      </c>
      <c r="V14" s="796">
        <v>0.99786179461546309</v>
      </c>
      <c r="W14" s="796">
        <v>0.99719962953462971</v>
      </c>
      <c r="X14" s="796">
        <v>0.99628189259894628</v>
      </c>
      <c r="Y14" s="796">
        <v>0.99536415566326308</v>
      </c>
      <c r="Z14" s="796">
        <v>0.99444641872757966</v>
      </c>
      <c r="AA14" s="796">
        <v>0.99352868179189646</v>
      </c>
      <c r="AB14" s="796">
        <v>0.99261094485621293</v>
      </c>
      <c r="AC14" s="796">
        <v>0.99129267141222344</v>
      </c>
      <c r="AD14" s="796">
        <v>0.98997439796823383</v>
      </c>
      <c r="AE14" s="796">
        <v>0.98865612452424423</v>
      </c>
      <c r="AF14" s="796">
        <v>0.98733785108025474</v>
      </c>
      <c r="AG14" s="796">
        <v>0.98601957763626524</v>
      </c>
      <c r="AH14" s="796">
        <v>0.9841375607736994</v>
      </c>
      <c r="AI14" s="796">
        <v>0.98225554391113357</v>
      </c>
      <c r="AJ14" s="796">
        <v>0.98037352704856762</v>
      </c>
      <c r="AK14" s="796">
        <v>0.97849151018600167</v>
      </c>
      <c r="AL14" s="796">
        <v>0.97660949332343594</v>
      </c>
      <c r="AM14" s="796">
        <v>0.97398242808277313</v>
      </c>
      <c r="AN14" s="796">
        <v>0.97135536284211055</v>
      </c>
      <c r="AO14" s="796">
        <v>0.96872829760144774</v>
      </c>
      <c r="AP14" s="796">
        <v>0.96610123236078516</v>
      </c>
      <c r="AQ14" s="796">
        <v>0.96347416712012235</v>
      </c>
      <c r="AR14" s="796">
        <v>0.96088243571466136</v>
      </c>
      <c r="AS14" s="796">
        <v>0.95829070430920038</v>
      </c>
      <c r="AT14" s="796">
        <v>0.95569897290373929</v>
      </c>
    </row>
    <row r="15" spans="2:46" ht="15" hidden="1" customHeight="1" outlineLevel="1">
      <c r="B15" s="1001"/>
      <c r="C15" s="1001"/>
      <c r="D15" s="516" t="str">
        <f t="shared" si="6"/>
        <v>Vranov nad Topľou &lt;=&gt; Strážske</v>
      </c>
      <c r="E15" s="1002"/>
      <c r="F15" s="1002"/>
      <c r="G15" s="796">
        <v>1.0009583232843067</v>
      </c>
      <c r="H15" s="796">
        <v>1.0007492505675599</v>
      </c>
      <c r="I15" s="796">
        <v>1.0013128185660611</v>
      </c>
      <c r="J15" s="796">
        <v>1.0011573170135106</v>
      </c>
      <c r="K15" s="796">
        <v>1.0010153246774383</v>
      </c>
      <c r="L15" s="796">
        <v>1.0008091236661569</v>
      </c>
      <c r="M15" s="796">
        <v>1.0006659138632201</v>
      </c>
      <c r="N15" s="796">
        <v>1.0008498197556257</v>
      </c>
      <c r="O15" s="796">
        <v>1.0006461516185667</v>
      </c>
      <c r="P15" s="796">
        <v>1.000558022347722</v>
      </c>
      <c r="Q15" s="796">
        <v>1.0004057087685063</v>
      </c>
      <c r="R15" s="796">
        <v>1.0003304767143759</v>
      </c>
      <c r="S15" s="796">
        <v>0.99966843074803546</v>
      </c>
      <c r="T15" s="796">
        <v>0.99900638478169501</v>
      </c>
      <c r="U15" s="796">
        <v>0.99834433881535456</v>
      </c>
      <c r="V15" s="796">
        <v>0.99768229284901411</v>
      </c>
      <c r="W15" s="796">
        <v>0.99702024688267366</v>
      </c>
      <c r="X15" s="796">
        <v>0.9961026750353843</v>
      </c>
      <c r="Y15" s="796">
        <v>0.99518510318809494</v>
      </c>
      <c r="Z15" s="796">
        <v>0.99426753134080559</v>
      </c>
      <c r="AA15" s="796">
        <v>0.99334995949351623</v>
      </c>
      <c r="AB15" s="796">
        <v>0.99243238764622688</v>
      </c>
      <c r="AC15" s="796">
        <v>0.991114351341702</v>
      </c>
      <c r="AD15" s="796">
        <v>0.98979631503717735</v>
      </c>
      <c r="AE15" s="796">
        <v>0.98847827873265248</v>
      </c>
      <c r="AF15" s="796">
        <v>0.98716024242812783</v>
      </c>
      <c r="AG15" s="796">
        <v>0.98584220612360296</v>
      </c>
      <c r="AH15" s="796">
        <v>0.9839605278102761</v>
      </c>
      <c r="AI15" s="796">
        <v>0.98207884949694924</v>
      </c>
      <c r="AJ15" s="796">
        <v>0.98019717118362248</v>
      </c>
      <c r="AK15" s="796">
        <v>0.97831549287029573</v>
      </c>
      <c r="AL15" s="796">
        <v>0.97643381455696909</v>
      </c>
      <c r="AM15" s="796">
        <v>0.97380722188961655</v>
      </c>
      <c r="AN15" s="796">
        <v>0.97118062922226389</v>
      </c>
      <c r="AO15" s="796">
        <v>0.96855403655491124</v>
      </c>
      <c r="AP15" s="796">
        <v>0.96592744388755869</v>
      </c>
      <c r="AQ15" s="796">
        <v>0.96330085122020592</v>
      </c>
      <c r="AR15" s="796">
        <v>0.96070958603197854</v>
      </c>
      <c r="AS15" s="796">
        <v>0.95811832084375137</v>
      </c>
      <c r="AT15" s="796">
        <v>0.95552705565552398</v>
      </c>
    </row>
    <row r="16" spans="2:46" ht="15" hidden="1" customHeight="1" outlineLevel="1">
      <c r="B16" s="1001"/>
      <c r="C16" s="1001"/>
      <c r="D16" s="516" t="str">
        <f>B95</f>
        <v>Kapušany pri Prešove &lt;=&gt; Raslavice</v>
      </c>
      <c r="E16" s="1002"/>
      <c r="F16" s="1002"/>
      <c r="G16" s="796">
        <v>1.0007846777608889</v>
      </c>
      <c r="H16" s="796">
        <v>1.0005720502654198</v>
      </c>
      <c r="I16" s="796">
        <v>1.0011529039082057</v>
      </c>
      <c r="J16" s="796">
        <v>1.0010312276252502</v>
      </c>
      <c r="K16" s="796">
        <v>1.0007831557855669</v>
      </c>
      <c r="L16" s="796">
        <v>1.0005685093715082</v>
      </c>
      <c r="M16" s="796">
        <v>1.0003400660195534</v>
      </c>
      <c r="N16" s="796">
        <v>1.0003282998267311</v>
      </c>
      <c r="O16" s="796">
        <v>1.0001598663184925</v>
      </c>
      <c r="P16" s="796">
        <v>1.0000073852536924</v>
      </c>
      <c r="Q16" s="796">
        <v>0.99982044574018791</v>
      </c>
      <c r="R16" s="796">
        <v>0.99957364533175719</v>
      </c>
      <c r="S16" s="796">
        <v>0.9989121002570478</v>
      </c>
      <c r="T16" s="796">
        <v>0.99825055518233818</v>
      </c>
      <c r="U16" s="796">
        <v>0.99758901010762879</v>
      </c>
      <c r="V16" s="796">
        <v>0.9969274650329194</v>
      </c>
      <c r="W16" s="796">
        <v>0.99626591995821001</v>
      </c>
      <c r="X16" s="796">
        <v>0.99534904232866772</v>
      </c>
      <c r="Y16" s="796">
        <v>0.99443216469912543</v>
      </c>
      <c r="Z16" s="796">
        <v>0.99351528706958314</v>
      </c>
      <c r="AA16" s="796">
        <v>0.99259840944004085</v>
      </c>
      <c r="AB16" s="796">
        <v>0.99168153181049834</v>
      </c>
      <c r="AC16" s="796">
        <v>0.99036449270766025</v>
      </c>
      <c r="AD16" s="796">
        <v>0.98904745360482227</v>
      </c>
      <c r="AE16" s="796">
        <v>0.98773041450198429</v>
      </c>
      <c r="AF16" s="796">
        <v>0.9864133753991462</v>
      </c>
      <c r="AG16" s="796">
        <v>0.98509633629630822</v>
      </c>
      <c r="AH16" s="796">
        <v>0.98321608162570029</v>
      </c>
      <c r="AI16" s="796">
        <v>0.98133582695509225</v>
      </c>
      <c r="AJ16" s="796">
        <v>0.97945557228448421</v>
      </c>
      <c r="AK16" s="796">
        <v>0.97757531761387628</v>
      </c>
      <c r="AL16" s="796">
        <v>0.97569506294326813</v>
      </c>
      <c r="AM16" s="796">
        <v>0.97307045750694199</v>
      </c>
      <c r="AN16" s="796">
        <v>0.97044585207061573</v>
      </c>
      <c r="AO16" s="796">
        <v>0.96782124663428948</v>
      </c>
      <c r="AP16" s="796">
        <v>0.96519664119796333</v>
      </c>
      <c r="AQ16" s="796">
        <v>0.96257203576163719</v>
      </c>
      <c r="AR16" s="796">
        <v>0.95998273107632437</v>
      </c>
      <c r="AS16" s="796">
        <v>0.95739342639101155</v>
      </c>
      <c r="AT16" s="796">
        <v>0.95480412170569873</v>
      </c>
    </row>
    <row r="17" spans="2:46" ht="6.75" hidden="1" customHeight="1" outlineLevel="1">
      <c r="B17" s="1001"/>
      <c r="C17" s="1001"/>
      <c r="D17" s="516"/>
      <c r="E17" s="517"/>
      <c r="F17" s="517"/>
      <c r="G17" s="797"/>
      <c r="H17" s="797"/>
      <c r="I17" s="797"/>
      <c r="J17" s="797"/>
      <c r="K17" s="797"/>
      <c r="L17" s="797"/>
      <c r="M17" s="797"/>
      <c r="N17" s="797"/>
      <c r="O17" s="797"/>
      <c r="P17" s="797"/>
      <c r="Q17" s="797"/>
      <c r="R17" s="797"/>
      <c r="S17" s="797"/>
      <c r="T17" s="797"/>
      <c r="U17" s="797"/>
      <c r="V17" s="797"/>
      <c r="W17" s="797"/>
      <c r="X17" s="797"/>
      <c r="Y17" s="797"/>
      <c r="Z17" s="797"/>
      <c r="AA17" s="797"/>
      <c r="AB17" s="797"/>
      <c r="AC17" s="797"/>
      <c r="AD17" s="797"/>
      <c r="AE17" s="797"/>
      <c r="AF17" s="797"/>
      <c r="AG17" s="797"/>
      <c r="AH17" s="797"/>
      <c r="AI17" s="797"/>
      <c r="AJ17" s="797"/>
      <c r="AK17" s="797"/>
      <c r="AL17" s="797"/>
      <c r="AM17" s="797"/>
      <c r="AN17" s="797"/>
      <c r="AO17" s="797"/>
      <c r="AP17" s="797"/>
      <c r="AQ17" s="797"/>
      <c r="AR17" s="797"/>
      <c r="AS17" s="797"/>
      <c r="AT17" s="797"/>
    </row>
    <row r="18" spans="2:46" ht="15" hidden="1" customHeight="1" outlineLevel="1">
      <c r="B18" s="1001"/>
      <c r="C18" s="1001"/>
      <c r="D18" s="516" t="str">
        <f>D13</f>
        <v>Prešov &lt;=&gt; Kapušany pri Prešove</v>
      </c>
      <c r="E18" s="1002" t="s">
        <v>819</v>
      </c>
      <c r="F18" s="1002"/>
      <c r="G18" s="796">
        <v>0</v>
      </c>
      <c r="H18" s="796">
        <v>0</v>
      </c>
      <c r="I18" s="796">
        <v>0</v>
      </c>
      <c r="J18" s="796">
        <v>0</v>
      </c>
      <c r="K18" s="796">
        <v>0</v>
      </c>
      <c r="L18" s="796">
        <v>0</v>
      </c>
      <c r="M18" s="796">
        <v>0</v>
      </c>
      <c r="N18" s="796">
        <v>0</v>
      </c>
      <c r="O18" s="796">
        <v>0</v>
      </c>
      <c r="P18" s="796">
        <v>0</v>
      </c>
      <c r="Q18" s="796">
        <v>0</v>
      </c>
      <c r="R18" s="796">
        <v>0</v>
      </c>
      <c r="S18" s="796">
        <v>0</v>
      </c>
      <c r="T18" s="796">
        <v>0</v>
      </c>
      <c r="U18" s="796">
        <v>0</v>
      </c>
      <c r="V18" s="796">
        <v>0</v>
      </c>
      <c r="W18" s="796">
        <v>0</v>
      </c>
      <c r="X18" s="796">
        <v>0</v>
      </c>
      <c r="Y18" s="796">
        <v>0</v>
      </c>
      <c r="Z18" s="796">
        <v>0</v>
      </c>
      <c r="AA18" s="796">
        <v>0</v>
      </c>
      <c r="AB18" s="796">
        <v>0</v>
      </c>
      <c r="AC18" s="796">
        <v>0</v>
      </c>
      <c r="AD18" s="796">
        <v>0</v>
      </c>
      <c r="AE18" s="796">
        <v>0</v>
      </c>
      <c r="AF18" s="796">
        <v>0</v>
      </c>
      <c r="AG18" s="796">
        <v>0</v>
      </c>
      <c r="AH18" s="796">
        <v>0</v>
      </c>
      <c r="AI18" s="796">
        <v>0</v>
      </c>
      <c r="AJ18" s="796">
        <v>0</v>
      </c>
      <c r="AK18" s="796">
        <v>0</v>
      </c>
      <c r="AL18" s="796">
        <v>0</v>
      </c>
      <c r="AM18" s="796">
        <v>0</v>
      </c>
      <c r="AN18" s="796">
        <v>0</v>
      </c>
      <c r="AO18" s="796">
        <v>0</v>
      </c>
      <c r="AP18" s="796">
        <v>0</v>
      </c>
      <c r="AQ18" s="796">
        <v>0</v>
      </c>
      <c r="AR18" s="796">
        <v>0</v>
      </c>
      <c r="AS18" s="796">
        <v>0</v>
      </c>
      <c r="AT18" s="796">
        <v>0</v>
      </c>
    </row>
    <row r="19" spans="2:46" ht="15" hidden="1" customHeight="1" outlineLevel="1">
      <c r="B19" s="1001"/>
      <c r="C19" s="1001"/>
      <c r="D19" s="516" t="str">
        <f>D14</f>
        <v>Kapušany pri Prešove &lt;=&gt; Vranov nad Topľou</v>
      </c>
      <c r="E19" s="1002"/>
      <c r="F19" s="1002"/>
      <c r="G19" s="796">
        <v>0</v>
      </c>
      <c r="H19" s="796">
        <v>0</v>
      </c>
      <c r="I19" s="796">
        <v>0</v>
      </c>
      <c r="J19" s="796">
        <v>0</v>
      </c>
      <c r="K19" s="796">
        <v>0</v>
      </c>
      <c r="L19" s="796">
        <v>0</v>
      </c>
      <c r="M19" s="796">
        <v>0</v>
      </c>
      <c r="N19" s="796">
        <v>0</v>
      </c>
      <c r="O19" s="796">
        <v>0</v>
      </c>
      <c r="P19" s="796">
        <v>0</v>
      </c>
      <c r="Q19" s="796">
        <v>0</v>
      </c>
      <c r="R19" s="796">
        <v>0</v>
      </c>
      <c r="S19" s="796">
        <v>0</v>
      </c>
      <c r="T19" s="796">
        <v>0</v>
      </c>
      <c r="U19" s="796">
        <v>0</v>
      </c>
      <c r="V19" s="796">
        <v>0</v>
      </c>
      <c r="W19" s="796">
        <v>0</v>
      </c>
      <c r="X19" s="796">
        <v>0</v>
      </c>
      <c r="Y19" s="796">
        <v>0</v>
      </c>
      <c r="Z19" s="796">
        <v>0</v>
      </c>
      <c r="AA19" s="796">
        <v>0</v>
      </c>
      <c r="AB19" s="796">
        <v>0</v>
      </c>
      <c r="AC19" s="796">
        <v>0</v>
      </c>
      <c r="AD19" s="796">
        <v>0</v>
      </c>
      <c r="AE19" s="796">
        <v>0</v>
      </c>
      <c r="AF19" s="796">
        <v>0</v>
      </c>
      <c r="AG19" s="796">
        <v>0</v>
      </c>
      <c r="AH19" s="796">
        <v>0</v>
      </c>
      <c r="AI19" s="796">
        <v>0</v>
      </c>
      <c r="AJ19" s="796">
        <v>0</v>
      </c>
      <c r="AK19" s="796">
        <v>0</v>
      </c>
      <c r="AL19" s="796">
        <v>0</v>
      </c>
      <c r="AM19" s="796">
        <v>0</v>
      </c>
      <c r="AN19" s="796">
        <v>0</v>
      </c>
      <c r="AO19" s="796">
        <v>0</v>
      </c>
      <c r="AP19" s="796">
        <v>0</v>
      </c>
      <c r="AQ19" s="796">
        <v>0</v>
      </c>
      <c r="AR19" s="796">
        <v>0</v>
      </c>
      <c r="AS19" s="796">
        <v>0</v>
      </c>
      <c r="AT19" s="796">
        <v>0</v>
      </c>
    </row>
    <row r="20" spans="2:46" hidden="1" outlineLevel="1">
      <c r="B20" s="1001"/>
      <c r="C20" s="1001"/>
      <c r="D20" s="516" t="str">
        <f>D15</f>
        <v>Vranov nad Topľou &lt;=&gt; Strážske</v>
      </c>
      <c r="E20" s="1002"/>
      <c r="F20" s="1002"/>
      <c r="G20" s="796">
        <v>0</v>
      </c>
      <c r="H20" s="796">
        <v>0</v>
      </c>
      <c r="I20" s="796">
        <v>0</v>
      </c>
      <c r="J20" s="796">
        <v>0</v>
      </c>
      <c r="K20" s="796">
        <v>0</v>
      </c>
      <c r="L20" s="796">
        <v>0</v>
      </c>
      <c r="M20" s="796">
        <v>0</v>
      </c>
      <c r="N20" s="796">
        <v>0</v>
      </c>
      <c r="O20" s="796">
        <v>0</v>
      </c>
      <c r="P20" s="796">
        <v>0</v>
      </c>
      <c r="Q20" s="796">
        <v>0</v>
      </c>
      <c r="R20" s="796">
        <v>0</v>
      </c>
      <c r="S20" s="796">
        <v>0</v>
      </c>
      <c r="T20" s="796">
        <v>0</v>
      </c>
      <c r="U20" s="796">
        <v>0</v>
      </c>
      <c r="V20" s="796">
        <v>0</v>
      </c>
      <c r="W20" s="796">
        <v>0</v>
      </c>
      <c r="X20" s="796">
        <v>0</v>
      </c>
      <c r="Y20" s="796">
        <v>0</v>
      </c>
      <c r="Z20" s="796">
        <v>0</v>
      </c>
      <c r="AA20" s="796">
        <v>0</v>
      </c>
      <c r="AB20" s="796">
        <v>0</v>
      </c>
      <c r="AC20" s="796">
        <v>0</v>
      </c>
      <c r="AD20" s="796">
        <v>0</v>
      </c>
      <c r="AE20" s="796">
        <v>0</v>
      </c>
      <c r="AF20" s="796">
        <v>0</v>
      </c>
      <c r="AG20" s="796">
        <v>0</v>
      </c>
      <c r="AH20" s="796">
        <v>0</v>
      </c>
      <c r="AI20" s="796">
        <v>0</v>
      </c>
      <c r="AJ20" s="796">
        <v>0</v>
      </c>
      <c r="AK20" s="796">
        <v>0</v>
      </c>
      <c r="AL20" s="796">
        <v>0</v>
      </c>
      <c r="AM20" s="796">
        <v>0</v>
      </c>
      <c r="AN20" s="796">
        <v>0</v>
      </c>
      <c r="AO20" s="796">
        <v>0</v>
      </c>
      <c r="AP20" s="796">
        <v>0</v>
      </c>
      <c r="AQ20" s="796">
        <v>0</v>
      </c>
      <c r="AR20" s="796">
        <v>0</v>
      </c>
      <c r="AS20" s="796">
        <v>0</v>
      </c>
      <c r="AT20" s="796">
        <v>0</v>
      </c>
    </row>
    <row r="21" spans="2:46" hidden="1" outlineLevel="1">
      <c r="B21" s="1001"/>
      <c r="C21" s="1001"/>
      <c r="D21" s="516" t="str">
        <f>D16</f>
        <v>Kapušany pri Prešove &lt;=&gt; Raslavice</v>
      </c>
      <c r="E21" s="1002"/>
      <c r="F21" s="1002"/>
      <c r="G21" s="796">
        <v>0</v>
      </c>
      <c r="H21" s="796">
        <v>0</v>
      </c>
      <c r="I21" s="796">
        <v>0</v>
      </c>
      <c r="J21" s="796">
        <v>0</v>
      </c>
      <c r="K21" s="796">
        <v>0</v>
      </c>
      <c r="L21" s="796">
        <v>0</v>
      </c>
      <c r="M21" s="796">
        <v>0</v>
      </c>
      <c r="N21" s="796">
        <v>0</v>
      </c>
      <c r="O21" s="796">
        <v>0</v>
      </c>
      <c r="P21" s="796">
        <v>0</v>
      </c>
      <c r="Q21" s="796">
        <v>0</v>
      </c>
      <c r="R21" s="796">
        <v>0</v>
      </c>
      <c r="S21" s="796">
        <v>0</v>
      </c>
      <c r="T21" s="796">
        <v>0</v>
      </c>
      <c r="U21" s="796">
        <v>0</v>
      </c>
      <c r="V21" s="796">
        <v>0</v>
      </c>
      <c r="W21" s="796">
        <v>0</v>
      </c>
      <c r="X21" s="796">
        <v>0</v>
      </c>
      <c r="Y21" s="796">
        <v>0</v>
      </c>
      <c r="Z21" s="796">
        <v>0</v>
      </c>
      <c r="AA21" s="796">
        <v>0</v>
      </c>
      <c r="AB21" s="796">
        <v>0</v>
      </c>
      <c r="AC21" s="796">
        <v>0</v>
      </c>
      <c r="AD21" s="796">
        <v>0</v>
      </c>
      <c r="AE21" s="796">
        <v>0</v>
      </c>
      <c r="AF21" s="796">
        <v>0</v>
      </c>
      <c r="AG21" s="796">
        <v>0</v>
      </c>
      <c r="AH21" s="796">
        <v>0</v>
      </c>
      <c r="AI21" s="796">
        <v>0</v>
      </c>
      <c r="AJ21" s="796">
        <v>0</v>
      </c>
      <c r="AK21" s="796">
        <v>0</v>
      </c>
      <c r="AL21" s="796">
        <v>0</v>
      </c>
      <c r="AM21" s="796">
        <v>0</v>
      </c>
      <c r="AN21" s="796">
        <v>0</v>
      </c>
      <c r="AO21" s="796">
        <v>0</v>
      </c>
      <c r="AP21" s="796">
        <v>0</v>
      </c>
      <c r="AQ21" s="796">
        <v>0</v>
      </c>
      <c r="AR21" s="796">
        <v>0</v>
      </c>
      <c r="AS21" s="796">
        <v>0</v>
      </c>
      <c r="AT21" s="796">
        <v>0</v>
      </c>
    </row>
    <row r="22" spans="2:46" collapsed="1">
      <c r="C22" s="384"/>
      <c r="D22" s="384"/>
      <c r="E22" s="384"/>
    </row>
    <row r="23" spans="2:46">
      <c r="C23" s="384"/>
      <c r="D23" s="384"/>
      <c r="E23" s="384"/>
    </row>
    <row r="24" spans="2:46">
      <c r="C24" s="384"/>
      <c r="D24" s="384"/>
      <c r="E24" s="384"/>
    </row>
    <row r="25" spans="2:46">
      <c r="C25" s="384"/>
      <c r="D25" s="384"/>
      <c r="E25" s="384"/>
    </row>
    <row r="26" spans="2:46">
      <c r="C26" s="779" t="s">
        <v>820</v>
      </c>
      <c r="D26" s="1003" t="s">
        <v>821</v>
      </c>
      <c r="E26" s="1003"/>
      <c r="F26" s="518"/>
    </row>
    <row r="27" spans="2:46">
      <c r="C27" s="518"/>
      <c r="D27" s="519" t="s">
        <v>822</v>
      </c>
      <c r="E27" s="779"/>
      <c r="F27" s="520"/>
    </row>
    <row r="28" spans="2:46" ht="15.75">
      <c r="B28" s="791" t="s">
        <v>811</v>
      </c>
      <c r="C28" s="780">
        <f>SUM(C31:C34)</f>
        <v>81.958333333333343</v>
      </c>
      <c r="D28" s="1004">
        <f>SUM(D31:E34)</f>
        <v>4.5555555555555599E-2</v>
      </c>
      <c r="E28" s="1004"/>
      <c r="G28" s="521">
        <f t="shared" ref="G28:AT28" si="7">SUM(G31:G34)</f>
        <v>0</v>
      </c>
      <c r="H28" s="521">
        <f t="shared" si="7"/>
        <v>0</v>
      </c>
      <c r="I28" s="521">
        <f t="shared" si="7"/>
        <v>0</v>
      </c>
      <c r="J28" s="521">
        <f t="shared" si="7"/>
        <v>0</v>
      </c>
      <c r="K28" s="521">
        <f t="shared" si="7"/>
        <v>0</v>
      </c>
      <c r="L28" s="521">
        <f t="shared" si="7"/>
        <v>0</v>
      </c>
      <c r="M28" s="521">
        <f t="shared" si="7"/>
        <v>0</v>
      </c>
      <c r="N28" s="521">
        <f t="shared" si="7"/>
        <v>0</v>
      </c>
      <c r="O28" s="521">
        <f t="shared" si="7"/>
        <v>0</v>
      </c>
      <c r="P28" s="521">
        <f t="shared" si="7"/>
        <v>0</v>
      </c>
      <c r="Q28" s="521">
        <f t="shared" si="7"/>
        <v>0</v>
      </c>
      <c r="R28" s="521">
        <f t="shared" si="7"/>
        <v>0</v>
      </c>
      <c r="S28" s="521">
        <f t="shared" si="7"/>
        <v>0</v>
      </c>
      <c r="T28" s="521">
        <f t="shared" si="7"/>
        <v>0</v>
      </c>
      <c r="U28" s="521">
        <f t="shared" si="7"/>
        <v>0</v>
      </c>
      <c r="V28" s="521">
        <f t="shared" si="7"/>
        <v>0</v>
      </c>
      <c r="W28" s="521">
        <f t="shared" si="7"/>
        <v>0</v>
      </c>
      <c r="X28" s="521">
        <f t="shared" si="7"/>
        <v>0</v>
      </c>
      <c r="Y28" s="521">
        <f t="shared" si="7"/>
        <v>0</v>
      </c>
      <c r="Z28" s="521">
        <f t="shared" si="7"/>
        <v>0</v>
      </c>
      <c r="AA28" s="521">
        <f t="shared" si="7"/>
        <v>0</v>
      </c>
      <c r="AB28" s="521">
        <f t="shared" si="7"/>
        <v>0</v>
      </c>
      <c r="AC28" s="521">
        <f t="shared" si="7"/>
        <v>0</v>
      </c>
      <c r="AD28" s="521">
        <f t="shared" si="7"/>
        <v>0</v>
      </c>
      <c r="AE28" s="521">
        <f t="shared" si="7"/>
        <v>0</v>
      </c>
      <c r="AF28" s="521">
        <f t="shared" si="7"/>
        <v>0</v>
      </c>
      <c r="AG28" s="521">
        <f t="shared" si="7"/>
        <v>0</v>
      </c>
      <c r="AH28" s="521">
        <f t="shared" si="7"/>
        <v>0</v>
      </c>
      <c r="AI28" s="521">
        <f t="shared" si="7"/>
        <v>0</v>
      </c>
      <c r="AJ28" s="521">
        <f t="shared" si="7"/>
        <v>0</v>
      </c>
      <c r="AK28" s="521">
        <f t="shared" si="7"/>
        <v>0</v>
      </c>
      <c r="AL28" s="521">
        <f t="shared" si="7"/>
        <v>0</v>
      </c>
      <c r="AM28" s="521">
        <f t="shared" si="7"/>
        <v>0</v>
      </c>
      <c r="AN28" s="521">
        <f t="shared" si="7"/>
        <v>0</v>
      </c>
      <c r="AO28" s="521">
        <f t="shared" si="7"/>
        <v>0</v>
      </c>
      <c r="AP28" s="521">
        <f t="shared" si="7"/>
        <v>0</v>
      </c>
      <c r="AQ28" s="521">
        <f t="shared" si="7"/>
        <v>0</v>
      </c>
      <c r="AR28" s="521">
        <f t="shared" si="7"/>
        <v>0</v>
      </c>
      <c r="AS28" s="521">
        <f t="shared" si="7"/>
        <v>0</v>
      </c>
      <c r="AT28" s="521">
        <f t="shared" si="7"/>
        <v>0</v>
      </c>
    </row>
    <row r="29" spans="2:46">
      <c r="G29" s="522"/>
      <c r="H29" s="522"/>
      <c r="I29" s="522"/>
      <c r="J29" s="522"/>
      <c r="K29" s="522"/>
      <c r="L29" s="522"/>
      <c r="M29" s="522"/>
      <c r="N29" s="522"/>
      <c r="O29" s="522"/>
      <c r="P29" s="522"/>
      <c r="Q29" s="522"/>
      <c r="R29" s="522"/>
      <c r="S29" s="522"/>
      <c r="T29" s="522"/>
      <c r="U29" s="522"/>
      <c r="V29" s="522"/>
      <c r="W29" s="522"/>
      <c r="X29" s="522"/>
      <c r="Y29" s="522"/>
      <c r="Z29" s="522"/>
      <c r="AA29" s="522"/>
      <c r="AB29" s="522"/>
      <c r="AC29" s="522"/>
      <c r="AD29" s="522"/>
      <c r="AE29" s="522"/>
      <c r="AF29" s="522"/>
      <c r="AG29" s="522"/>
    </row>
    <row r="30" spans="2:46">
      <c r="B30" s="523" t="s">
        <v>823</v>
      </c>
      <c r="D30" s="524"/>
      <c r="G30" s="522"/>
      <c r="H30" s="522"/>
      <c r="I30" s="522"/>
      <c r="J30" s="522"/>
      <c r="K30" s="522"/>
      <c r="L30" s="522"/>
      <c r="M30" s="522"/>
      <c r="N30" s="522"/>
      <c r="O30" s="522"/>
      <c r="P30" s="522"/>
      <c r="Q30" s="522"/>
      <c r="R30" s="522"/>
      <c r="S30" s="522"/>
      <c r="T30" s="522"/>
      <c r="U30" s="522"/>
      <c r="V30" s="522"/>
      <c r="W30" s="522"/>
      <c r="X30" s="522"/>
      <c r="Y30" s="522"/>
      <c r="Z30" s="522"/>
      <c r="AA30" s="522"/>
      <c r="AB30" s="522"/>
      <c r="AC30" s="522"/>
      <c r="AD30" s="522"/>
      <c r="AE30" s="522"/>
      <c r="AF30" s="522"/>
      <c r="AG30" s="522"/>
    </row>
    <row r="31" spans="2:46">
      <c r="B31" s="525" t="str">
        <f>B92</f>
        <v>Prešov &lt;=&gt; Kapušany pri Prešove</v>
      </c>
      <c r="C31" s="526">
        <f>C57</f>
        <v>12.083333333333334</v>
      </c>
      <c r="D31" s="997">
        <v>8.3333333333333343E-2</v>
      </c>
      <c r="E31" s="998"/>
      <c r="F31" s="384"/>
      <c r="G31" s="527">
        <f t="shared" ref="G31:AT34" si="8">$D31*G79*G69</f>
        <v>0</v>
      </c>
      <c r="H31" s="527">
        <f t="shared" si="8"/>
        <v>0</v>
      </c>
      <c r="I31" s="527">
        <f t="shared" si="8"/>
        <v>0</v>
      </c>
      <c r="J31" s="527">
        <f t="shared" si="8"/>
        <v>0</v>
      </c>
      <c r="K31" s="527">
        <f t="shared" si="8"/>
        <v>0</v>
      </c>
      <c r="L31" s="527">
        <f t="shared" si="8"/>
        <v>0</v>
      </c>
      <c r="M31" s="527">
        <f t="shared" si="8"/>
        <v>0</v>
      </c>
      <c r="N31" s="527">
        <f t="shared" si="8"/>
        <v>0</v>
      </c>
      <c r="O31" s="527">
        <f t="shared" si="8"/>
        <v>0</v>
      </c>
      <c r="P31" s="527">
        <f t="shared" si="8"/>
        <v>0</v>
      </c>
      <c r="Q31" s="527">
        <f t="shared" si="8"/>
        <v>0</v>
      </c>
      <c r="R31" s="527">
        <f t="shared" si="8"/>
        <v>0</v>
      </c>
      <c r="S31" s="527">
        <f t="shared" si="8"/>
        <v>0</v>
      </c>
      <c r="T31" s="527">
        <f t="shared" si="8"/>
        <v>0</v>
      </c>
      <c r="U31" s="527">
        <f t="shared" si="8"/>
        <v>0</v>
      </c>
      <c r="V31" s="527">
        <f t="shared" si="8"/>
        <v>0</v>
      </c>
      <c r="W31" s="527">
        <f t="shared" si="8"/>
        <v>0</v>
      </c>
      <c r="X31" s="527">
        <f t="shared" si="8"/>
        <v>0</v>
      </c>
      <c r="Y31" s="527">
        <f t="shared" si="8"/>
        <v>0</v>
      </c>
      <c r="Z31" s="527">
        <f t="shared" si="8"/>
        <v>0</v>
      </c>
      <c r="AA31" s="527">
        <f t="shared" si="8"/>
        <v>0</v>
      </c>
      <c r="AB31" s="527">
        <f t="shared" si="8"/>
        <v>0</v>
      </c>
      <c r="AC31" s="527">
        <f t="shared" si="8"/>
        <v>0</v>
      </c>
      <c r="AD31" s="527">
        <f t="shared" si="8"/>
        <v>0</v>
      </c>
      <c r="AE31" s="527">
        <f t="shared" si="8"/>
        <v>0</v>
      </c>
      <c r="AF31" s="527">
        <f t="shared" si="8"/>
        <v>0</v>
      </c>
      <c r="AG31" s="527">
        <f t="shared" si="8"/>
        <v>0</v>
      </c>
      <c r="AH31" s="527">
        <f t="shared" si="8"/>
        <v>0</v>
      </c>
      <c r="AI31" s="527">
        <f t="shared" si="8"/>
        <v>0</v>
      </c>
      <c r="AJ31" s="527">
        <f t="shared" si="8"/>
        <v>0</v>
      </c>
      <c r="AK31" s="527">
        <f t="shared" si="8"/>
        <v>0</v>
      </c>
      <c r="AL31" s="527">
        <f t="shared" si="8"/>
        <v>0</v>
      </c>
      <c r="AM31" s="527">
        <f t="shared" si="8"/>
        <v>0</v>
      </c>
      <c r="AN31" s="527">
        <f t="shared" si="8"/>
        <v>0</v>
      </c>
      <c r="AO31" s="527">
        <f t="shared" si="8"/>
        <v>0</v>
      </c>
      <c r="AP31" s="527">
        <f t="shared" si="8"/>
        <v>0</v>
      </c>
      <c r="AQ31" s="527">
        <f t="shared" si="8"/>
        <v>0</v>
      </c>
      <c r="AR31" s="527">
        <f t="shared" si="8"/>
        <v>0</v>
      </c>
      <c r="AS31" s="527">
        <f t="shared" si="8"/>
        <v>0</v>
      </c>
      <c r="AT31" s="527">
        <f t="shared" si="8"/>
        <v>0</v>
      </c>
    </row>
    <row r="32" spans="2:46">
      <c r="B32" s="525" t="str">
        <f>B93</f>
        <v>Kapušany pri Prešove &lt;=&gt; Vranov nad Topľou</v>
      </c>
      <c r="C32" s="526">
        <f t="shared" ref="C32:C33" si="9">C58</f>
        <v>39.175000000000004</v>
      </c>
      <c r="D32" s="997">
        <v>-8.3333333333333037E-3</v>
      </c>
      <c r="E32" s="998"/>
      <c r="F32" s="384"/>
      <c r="G32" s="527">
        <f t="shared" si="8"/>
        <v>0</v>
      </c>
      <c r="H32" s="527">
        <f t="shared" si="8"/>
        <v>0</v>
      </c>
      <c r="I32" s="527">
        <f t="shared" si="8"/>
        <v>0</v>
      </c>
      <c r="J32" s="527">
        <f t="shared" si="8"/>
        <v>0</v>
      </c>
      <c r="K32" s="527">
        <f t="shared" si="8"/>
        <v>0</v>
      </c>
      <c r="L32" s="527">
        <f t="shared" si="8"/>
        <v>0</v>
      </c>
      <c r="M32" s="527">
        <f t="shared" si="8"/>
        <v>0</v>
      </c>
      <c r="N32" s="527">
        <f t="shared" si="8"/>
        <v>0</v>
      </c>
      <c r="O32" s="527">
        <f t="shared" si="8"/>
        <v>0</v>
      </c>
      <c r="P32" s="527">
        <f t="shared" si="8"/>
        <v>0</v>
      </c>
      <c r="Q32" s="527">
        <f t="shared" si="8"/>
        <v>0</v>
      </c>
      <c r="R32" s="527">
        <f t="shared" si="8"/>
        <v>0</v>
      </c>
      <c r="S32" s="527">
        <f t="shared" si="8"/>
        <v>0</v>
      </c>
      <c r="T32" s="527">
        <f t="shared" si="8"/>
        <v>0</v>
      </c>
      <c r="U32" s="527">
        <f t="shared" si="8"/>
        <v>0</v>
      </c>
      <c r="V32" s="527">
        <f t="shared" si="8"/>
        <v>0</v>
      </c>
      <c r="W32" s="527">
        <f t="shared" si="8"/>
        <v>0</v>
      </c>
      <c r="X32" s="527">
        <f t="shared" si="8"/>
        <v>0</v>
      </c>
      <c r="Y32" s="527">
        <f t="shared" si="8"/>
        <v>0</v>
      </c>
      <c r="Z32" s="527">
        <f t="shared" si="8"/>
        <v>0</v>
      </c>
      <c r="AA32" s="527">
        <f t="shared" si="8"/>
        <v>0</v>
      </c>
      <c r="AB32" s="527">
        <f t="shared" si="8"/>
        <v>0</v>
      </c>
      <c r="AC32" s="527">
        <f t="shared" si="8"/>
        <v>0</v>
      </c>
      <c r="AD32" s="527">
        <f t="shared" si="8"/>
        <v>0</v>
      </c>
      <c r="AE32" s="527">
        <f t="shared" si="8"/>
        <v>0</v>
      </c>
      <c r="AF32" s="527">
        <f t="shared" si="8"/>
        <v>0</v>
      </c>
      <c r="AG32" s="527">
        <f t="shared" si="8"/>
        <v>0</v>
      </c>
      <c r="AH32" s="527">
        <f t="shared" si="8"/>
        <v>0</v>
      </c>
      <c r="AI32" s="527">
        <f t="shared" si="8"/>
        <v>0</v>
      </c>
      <c r="AJ32" s="527">
        <f t="shared" si="8"/>
        <v>0</v>
      </c>
      <c r="AK32" s="527">
        <f t="shared" si="8"/>
        <v>0</v>
      </c>
      <c r="AL32" s="527">
        <f t="shared" si="8"/>
        <v>0</v>
      </c>
      <c r="AM32" s="527">
        <f t="shared" si="8"/>
        <v>0</v>
      </c>
      <c r="AN32" s="527">
        <f t="shared" si="8"/>
        <v>0</v>
      </c>
      <c r="AO32" s="527">
        <f t="shared" si="8"/>
        <v>0</v>
      </c>
      <c r="AP32" s="527">
        <f t="shared" si="8"/>
        <v>0</v>
      </c>
      <c r="AQ32" s="527">
        <f t="shared" si="8"/>
        <v>0</v>
      </c>
      <c r="AR32" s="527">
        <f t="shared" si="8"/>
        <v>0</v>
      </c>
      <c r="AS32" s="527">
        <f t="shared" si="8"/>
        <v>0</v>
      </c>
      <c r="AT32" s="527">
        <f t="shared" si="8"/>
        <v>0</v>
      </c>
    </row>
    <row r="33" spans="2:46">
      <c r="B33" s="525" t="str">
        <f>B94</f>
        <v>Vranov nad Topľou &lt;=&gt; Strážske</v>
      </c>
      <c r="C33" s="526">
        <f t="shared" si="9"/>
        <v>14.9</v>
      </c>
      <c r="D33" s="997">
        <v>-4.6111111111111103E-2</v>
      </c>
      <c r="E33" s="998"/>
      <c r="F33" s="384"/>
      <c r="G33" s="527">
        <f t="shared" si="8"/>
        <v>0</v>
      </c>
      <c r="H33" s="527">
        <f t="shared" si="8"/>
        <v>0</v>
      </c>
      <c r="I33" s="527">
        <f t="shared" si="8"/>
        <v>0</v>
      </c>
      <c r="J33" s="527">
        <f t="shared" si="8"/>
        <v>0</v>
      </c>
      <c r="K33" s="527">
        <f t="shared" si="8"/>
        <v>0</v>
      </c>
      <c r="L33" s="527">
        <f t="shared" si="8"/>
        <v>0</v>
      </c>
      <c r="M33" s="527">
        <f t="shared" si="8"/>
        <v>0</v>
      </c>
      <c r="N33" s="527">
        <f t="shared" si="8"/>
        <v>0</v>
      </c>
      <c r="O33" s="527">
        <f t="shared" si="8"/>
        <v>0</v>
      </c>
      <c r="P33" s="527">
        <f t="shared" si="8"/>
        <v>0</v>
      </c>
      <c r="Q33" s="527">
        <f t="shared" si="8"/>
        <v>0</v>
      </c>
      <c r="R33" s="527">
        <f t="shared" si="8"/>
        <v>0</v>
      </c>
      <c r="S33" s="527">
        <f t="shared" si="8"/>
        <v>0</v>
      </c>
      <c r="T33" s="527">
        <f t="shared" si="8"/>
        <v>0</v>
      </c>
      <c r="U33" s="527">
        <f t="shared" si="8"/>
        <v>0</v>
      </c>
      <c r="V33" s="527">
        <f t="shared" si="8"/>
        <v>0</v>
      </c>
      <c r="W33" s="527">
        <f t="shared" si="8"/>
        <v>0</v>
      </c>
      <c r="X33" s="527">
        <f t="shared" si="8"/>
        <v>0</v>
      </c>
      <c r="Y33" s="527">
        <f t="shared" si="8"/>
        <v>0</v>
      </c>
      <c r="Z33" s="527">
        <f t="shared" si="8"/>
        <v>0</v>
      </c>
      <c r="AA33" s="527">
        <f t="shared" si="8"/>
        <v>0</v>
      </c>
      <c r="AB33" s="527">
        <f t="shared" si="8"/>
        <v>0</v>
      </c>
      <c r="AC33" s="527">
        <f t="shared" si="8"/>
        <v>0</v>
      </c>
      <c r="AD33" s="527">
        <f t="shared" si="8"/>
        <v>0</v>
      </c>
      <c r="AE33" s="527">
        <f t="shared" si="8"/>
        <v>0</v>
      </c>
      <c r="AF33" s="527">
        <f t="shared" si="8"/>
        <v>0</v>
      </c>
      <c r="AG33" s="527">
        <f t="shared" si="8"/>
        <v>0</v>
      </c>
      <c r="AH33" s="527">
        <f t="shared" si="8"/>
        <v>0</v>
      </c>
      <c r="AI33" s="527">
        <f t="shared" si="8"/>
        <v>0</v>
      </c>
      <c r="AJ33" s="527">
        <f t="shared" si="8"/>
        <v>0</v>
      </c>
      <c r="AK33" s="527">
        <f t="shared" si="8"/>
        <v>0</v>
      </c>
      <c r="AL33" s="527">
        <f t="shared" si="8"/>
        <v>0</v>
      </c>
      <c r="AM33" s="527">
        <f t="shared" si="8"/>
        <v>0</v>
      </c>
      <c r="AN33" s="527">
        <f t="shared" si="8"/>
        <v>0</v>
      </c>
      <c r="AO33" s="527">
        <f t="shared" si="8"/>
        <v>0</v>
      </c>
      <c r="AP33" s="527">
        <f t="shared" si="8"/>
        <v>0</v>
      </c>
      <c r="AQ33" s="527">
        <f t="shared" si="8"/>
        <v>0</v>
      </c>
      <c r="AR33" s="527">
        <f t="shared" si="8"/>
        <v>0</v>
      </c>
      <c r="AS33" s="527">
        <f t="shared" si="8"/>
        <v>0</v>
      </c>
      <c r="AT33" s="527">
        <f t="shared" si="8"/>
        <v>0</v>
      </c>
    </row>
    <row r="34" spans="2:46">
      <c r="B34" s="525" t="str">
        <f>B95</f>
        <v>Kapušany pri Prešove &lt;=&gt; Raslavice</v>
      </c>
      <c r="C34" s="526">
        <f>C60</f>
        <v>15.799999999999999</v>
      </c>
      <c r="D34" s="997">
        <v>1.6666666666666663E-2</v>
      </c>
      <c r="E34" s="998"/>
      <c r="G34" s="527">
        <f t="shared" si="8"/>
        <v>0</v>
      </c>
      <c r="H34" s="527">
        <f t="shared" si="8"/>
        <v>0</v>
      </c>
      <c r="I34" s="527">
        <f t="shared" si="8"/>
        <v>0</v>
      </c>
      <c r="J34" s="527">
        <f t="shared" si="8"/>
        <v>0</v>
      </c>
      <c r="K34" s="527">
        <f t="shared" si="8"/>
        <v>0</v>
      </c>
      <c r="L34" s="527">
        <f t="shared" si="8"/>
        <v>0</v>
      </c>
      <c r="M34" s="527">
        <f t="shared" si="8"/>
        <v>0</v>
      </c>
      <c r="N34" s="527">
        <f t="shared" si="8"/>
        <v>0</v>
      </c>
      <c r="O34" s="527">
        <f t="shared" si="8"/>
        <v>0</v>
      </c>
      <c r="P34" s="527">
        <f t="shared" si="8"/>
        <v>0</v>
      </c>
      <c r="Q34" s="527">
        <f t="shared" si="8"/>
        <v>0</v>
      </c>
      <c r="R34" s="527">
        <f t="shared" si="8"/>
        <v>0</v>
      </c>
      <c r="S34" s="527">
        <f t="shared" si="8"/>
        <v>0</v>
      </c>
      <c r="T34" s="527">
        <f t="shared" si="8"/>
        <v>0</v>
      </c>
      <c r="U34" s="527">
        <f t="shared" si="8"/>
        <v>0</v>
      </c>
      <c r="V34" s="527">
        <f t="shared" si="8"/>
        <v>0</v>
      </c>
      <c r="W34" s="527">
        <f t="shared" si="8"/>
        <v>0</v>
      </c>
      <c r="X34" s="527">
        <f t="shared" si="8"/>
        <v>0</v>
      </c>
      <c r="Y34" s="527">
        <f t="shared" si="8"/>
        <v>0</v>
      </c>
      <c r="Z34" s="527">
        <f t="shared" si="8"/>
        <v>0</v>
      </c>
      <c r="AA34" s="527">
        <f t="shared" si="8"/>
        <v>0</v>
      </c>
      <c r="AB34" s="527">
        <f t="shared" si="8"/>
        <v>0</v>
      </c>
      <c r="AC34" s="527">
        <f t="shared" si="8"/>
        <v>0</v>
      </c>
      <c r="AD34" s="527">
        <f t="shared" si="8"/>
        <v>0</v>
      </c>
      <c r="AE34" s="527">
        <f t="shared" si="8"/>
        <v>0</v>
      </c>
      <c r="AF34" s="527">
        <f t="shared" si="8"/>
        <v>0</v>
      </c>
      <c r="AG34" s="527">
        <f t="shared" si="8"/>
        <v>0</v>
      </c>
      <c r="AH34" s="527">
        <f t="shared" si="8"/>
        <v>0</v>
      </c>
      <c r="AI34" s="527">
        <f t="shared" si="8"/>
        <v>0</v>
      </c>
      <c r="AJ34" s="527">
        <f t="shared" si="8"/>
        <v>0</v>
      </c>
      <c r="AK34" s="527">
        <f t="shared" si="8"/>
        <v>0</v>
      </c>
      <c r="AL34" s="527">
        <f t="shared" si="8"/>
        <v>0</v>
      </c>
      <c r="AM34" s="527">
        <f t="shared" si="8"/>
        <v>0</v>
      </c>
      <c r="AN34" s="527">
        <f t="shared" si="8"/>
        <v>0</v>
      </c>
      <c r="AO34" s="527">
        <f t="shared" si="8"/>
        <v>0</v>
      </c>
      <c r="AP34" s="527">
        <f t="shared" si="8"/>
        <v>0</v>
      </c>
      <c r="AQ34" s="527">
        <f t="shared" si="8"/>
        <v>0</v>
      </c>
      <c r="AR34" s="527">
        <f t="shared" si="8"/>
        <v>0</v>
      </c>
      <c r="AS34" s="527">
        <f t="shared" si="8"/>
        <v>0</v>
      </c>
      <c r="AT34" s="527">
        <f t="shared" si="8"/>
        <v>0</v>
      </c>
    </row>
    <row r="35" spans="2:46">
      <c r="G35" s="522"/>
      <c r="H35" s="522"/>
      <c r="I35" s="522"/>
      <c r="J35" s="522"/>
      <c r="K35" s="522"/>
      <c r="L35" s="522"/>
      <c r="M35" s="522"/>
      <c r="N35" s="522"/>
      <c r="O35" s="522"/>
      <c r="P35" s="522"/>
      <c r="Q35" s="522"/>
      <c r="R35" s="522"/>
      <c r="S35" s="522"/>
      <c r="T35" s="522"/>
      <c r="U35" s="522"/>
      <c r="V35" s="522"/>
      <c r="W35" s="522"/>
      <c r="X35" s="522"/>
      <c r="Y35" s="522"/>
      <c r="Z35" s="522"/>
      <c r="AA35" s="522"/>
      <c r="AB35" s="522"/>
      <c r="AC35" s="522"/>
      <c r="AD35" s="522"/>
      <c r="AE35" s="522"/>
      <c r="AF35" s="522"/>
      <c r="AG35" s="522"/>
    </row>
    <row r="36" spans="2:46" ht="40.5" customHeight="1">
      <c r="G36" s="522"/>
      <c r="H36" s="522"/>
      <c r="I36" s="522"/>
      <c r="J36" s="522"/>
      <c r="K36" s="522"/>
      <c r="L36" s="522"/>
      <c r="M36" s="522"/>
      <c r="N36" s="522"/>
      <c r="O36" s="522"/>
      <c r="P36" s="522"/>
      <c r="Q36" s="522"/>
      <c r="R36" s="522"/>
      <c r="S36" s="522"/>
      <c r="T36" s="522"/>
      <c r="U36" s="522"/>
      <c r="V36" s="522"/>
      <c r="W36" s="522"/>
      <c r="X36" s="522"/>
      <c r="Y36" s="522"/>
      <c r="Z36" s="522"/>
      <c r="AA36" s="522"/>
      <c r="AB36" s="522"/>
      <c r="AC36" s="522"/>
      <c r="AD36" s="522"/>
      <c r="AE36" s="522"/>
      <c r="AF36" s="522"/>
      <c r="AG36" s="522"/>
    </row>
    <row r="37" spans="2:46" ht="32.25" customHeight="1">
      <c r="B37" s="528"/>
      <c r="C37" s="529"/>
      <c r="D37" s="530"/>
      <c r="E37" s="530"/>
      <c r="G37" s="522"/>
      <c r="H37" s="522"/>
      <c r="I37" s="522"/>
      <c r="J37" s="522"/>
      <c r="K37" s="522"/>
      <c r="L37" s="522"/>
      <c r="M37" s="522"/>
      <c r="N37" s="522"/>
      <c r="O37" s="522"/>
      <c r="P37" s="522"/>
      <c r="Q37" s="522"/>
      <c r="R37" s="522"/>
      <c r="S37" s="522"/>
      <c r="T37" s="522"/>
      <c r="U37" s="522"/>
      <c r="V37" s="522"/>
      <c r="W37" s="522"/>
      <c r="X37" s="522"/>
      <c r="Y37" s="522"/>
      <c r="Z37" s="522"/>
      <c r="AA37" s="522"/>
      <c r="AB37" s="522"/>
      <c r="AC37" s="522"/>
      <c r="AD37" s="522"/>
      <c r="AE37" s="522"/>
      <c r="AF37" s="522"/>
      <c r="AG37" s="522"/>
    </row>
    <row r="38" spans="2:46" ht="18.75" customHeight="1">
      <c r="B38" s="528"/>
      <c r="C38" s="529"/>
      <c r="D38" s="530"/>
      <c r="E38" s="530"/>
      <c r="G38" s="522"/>
      <c r="H38" s="522"/>
      <c r="I38" s="522"/>
      <c r="J38" s="522"/>
      <c r="K38" s="522"/>
      <c r="L38" s="522"/>
      <c r="M38" s="522"/>
      <c r="N38" s="522"/>
      <c r="O38" s="522"/>
      <c r="P38" s="522"/>
      <c r="Q38" s="522"/>
      <c r="R38" s="522"/>
      <c r="S38" s="522"/>
      <c r="T38" s="522"/>
      <c r="U38" s="522"/>
      <c r="V38" s="522"/>
      <c r="W38" s="522"/>
      <c r="X38" s="522"/>
      <c r="Y38" s="522"/>
      <c r="Z38" s="522"/>
      <c r="AA38" s="522"/>
      <c r="AB38" s="522"/>
      <c r="AC38" s="522"/>
      <c r="AD38" s="522"/>
      <c r="AE38" s="522"/>
      <c r="AF38" s="522"/>
      <c r="AG38" s="522"/>
    </row>
    <row r="39" spans="2:46">
      <c r="C39" s="779" t="s">
        <v>824</v>
      </c>
      <c r="D39" s="518" t="s">
        <v>825</v>
      </c>
      <c r="E39" s="518"/>
      <c r="F39" s="518"/>
      <c r="G39" s="522"/>
      <c r="H39" s="522"/>
      <c r="I39" s="522"/>
      <c r="J39" s="522"/>
      <c r="K39" s="522"/>
      <c r="L39" s="522"/>
      <c r="M39" s="522"/>
      <c r="N39" s="522"/>
      <c r="O39" s="522"/>
      <c r="P39" s="522"/>
      <c r="Q39" s="522"/>
      <c r="R39" s="522"/>
      <c r="S39" s="522"/>
      <c r="T39" s="522"/>
      <c r="U39" s="522"/>
      <c r="V39" s="522"/>
      <c r="W39" s="522"/>
      <c r="X39" s="522"/>
      <c r="Y39" s="522"/>
      <c r="Z39" s="522"/>
      <c r="AA39" s="522"/>
      <c r="AB39" s="522"/>
      <c r="AC39" s="522"/>
      <c r="AD39" s="522"/>
      <c r="AE39" s="522"/>
      <c r="AF39" s="522"/>
      <c r="AG39" s="522"/>
    </row>
    <row r="40" spans="2:46">
      <c r="C40" s="518"/>
      <c r="D40" s="519" t="s">
        <v>822</v>
      </c>
      <c r="E40" s="519"/>
      <c r="F40" s="520"/>
      <c r="G40" s="522"/>
      <c r="H40" s="522"/>
      <c r="I40" s="522"/>
      <c r="J40" s="522"/>
      <c r="K40" s="522"/>
      <c r="L40" s="522"/>
      <c r="M40" s="522"/>
      <c r="N40" s="522"/>
      <c r="O40" s="522"/>
      <c r="P40" s="522"/>
      <c r="Q40" s="522"/>
      <c r="R40" s="522"/>
      <c r="S40" s="522"/>
      <c r="T40" s="522"/>
      <c r="U40" s="522"/>
      <c r="V40" s="522"/>
      <c r="W40" s="522"/>
      <c r="X40" s="522"/>
      <c r="Y40" s="522"/>
      <c r="Z40" s="522"/>
      <c r="AA40" s="522"/>
      <c r="AB40" s="522"/>
      <c r="AC40" s="522"/>
      <c r="AD40" s="522"/>
      <c r="AE40" s="522"/>
      <c r="AF40" s="522"/>
      <c r="AG40" s="522"/>
    </row>
    <row r="41" spans="2:46" ht="15.75">
      <c r="B41" s="792" t="s">
        <v>826</v>
      </c>
      <c r="C41" s="780">
        <f>SUM(C44:C47)</f>
        <v>75.132999999999996</v>
      </c>
      <c r="D41" s="531">
        <f>SUM(D44:D47)</f>
        <v>0.16249999999999998</v>
      </c>
      <c r="E41" s="531"/>
      <c r="G41" s="521">
        <f t="shared" ref="G41:AT41" si="10">SUM(G44:G47)</f>
        <v>0</v>
      </c>
      <c r="H41" s="521">
        <f t="shared" si="10"/>
        <v>0</v>
      </c>
      <c r="I41" s="521">
        <f t="shared" si="10"/>
        <v>0</v>
      </c>
      <c r="J41" s="521">
        <f t="shared" si="10"/>
        <v>28475.548707269048</v>
      </c>
      <c r="K41" s="521">
        <f t="shared" si="10"/>
        <v>114083.53912093185</v>
      </c>
      <c r="L41" s="521">
        <f t="shared" si="10"/>
        <v>114246.10492254767</v>
      </c>
      <c r="M41" s="521">
        <f t="shared" si="10"/>
        <v>114386.42871656203</v>
      </c>
      <c r="N41" s="521">
        <f t="shared" si="10"/>
        <v>114543.35765732454</v>
      </c>
      <c r="O41" s="521">
        <f t="shared" si="10"/>
        <v>114688.18997274057</v>
      </c>
      <c r="P41" s="521">
        <f t="shared" si="10"/>
        <v>114812.54142864251</v>
      </c>
      <c r="Q41" s="521">
        <f t="shared" si="10"/>
        <v>114915.69684769267</v>
      </c>
      <c r="R41" s="521">
        <f t="shared" si="10"/>
        <v>115005.16628645312</v>
      </c>
      <c r="S41" s="521">
        <f t="shared" si="10"/>
        <v>115018.54997357784</v>
      </c>
      <c r="T41" s="521">
        <f t="shared" si="10"/>
        <v>114955.77092916898</v>
      </c>
      <c r="U41" s="521">
        <f t="shared" si="10"/>
        <v>114816.90341627989</v>
      </c>
      <c r="V41" s="521">
        <f t="shared" si="10"/>
        <v>114602.17286202985</v>
      </c>
      <c r="W41" s="521">
        <f t="shared" si="10"/>
        <v>114311.9552781598</v>
      </c>
      <c r="X41" s="521">
        <f t="shared" si="10"/>
        <v>113917.55340910441</v>
      </c>
      <c r="Y41" s="521">
        <f t="shared" si="10"/>
        <v>113419.95505424406</v>
      </c>
      <c r="Z41" s="521">
        <f t="shared" si="10"/>
        <v>112820.42966305323</v>
      </c>
      <c r="AA41" s="521">
        <f t="shared" si="10"/>
        <v>112120.52296142299</v>
      </c>
      <c r="AB41" s="521">
        <f t="shared" si="10"/>
        <v>111322.05032371065</v>
      </c>
      <c r="AC41" s="521">
        <f t="shared" si="10"/>
        <v>110382.48836192304</v>
      </c>
      <c r="AD41" s="521">
        <f t="shared" si="10"/>
        <v>109305.31939702114</v>
      </c>
      <c r="AE41" s="521">
        <f t="shared" si="10"/>
        <v>108094.54524700607</v>
      </c>
      <c r="AF41" s="521">
        <f t="shared" si="10"/>
        <v>106754.66242233368</v>
      </c>
      <c r="AG41" s="521">
        <f t="shared" si="10"/>
        <v>105290.63423675508</v>
      </c>
      <c r="AH41" s="521">
        <f t="shared" si="10"/>
        <v>103648.48712386568</v>
      </c>
      <c r="AI41" s="521">
        <f t="shared" si="10"/>
        <v>101836.84601966848</v>
      </c>
      <c r="AJ41" s="521">
        <f t="shared" si="10"/>
        <v>99865.174735162349</v>
      </c>
      <c r="AK41" s="521">
        <f t="shared" si="10"/>
        <v>97743.69319476097</v>
      </c>
      <c r="AL41" s="521">
        <f t="shared" si="10"/>
        <v>95483.288693199502</v>
      </c>
      <c r="AM41" s="521">
        <f t="shared" si="10"/>
        <v>93024.263295393757</v>
      </c>
      <c r="AN41" s="521">
        <f t="shared" si="10"/>
        <v>90384.133017403714</v>
      </c>
      <c r="AO41" s="521">
        <f t="shared" si="10"/>
        <v>87581.4364378834</v>
      </c>
      <c r="AP41" s="521">
        <f t="shared" si="10"/>
        <v>84635.516201192688</v>
      </c>
      <c r="AQ41" s="521">
        <f t="shared" si="10"/>
        <v>81566.29500935656</v>
      </c>
      <c r="AR41" s="521">
        <f t="shared" si="10"/>
        <v>78396.932595705628</v>
      </c>
      <c r="AS41" s="521">
        <f t="shared" si="10"/>
        <v>75147.492229212003</v>
      </c>
      <c r="AT41" s="521">
        <f t="shared" si="10"/>
        <v>71837.932367545975</v>
      </c>
    </row>
    <row r="42" spans="2:46">
      <c r="G42" s="522"/>
      <c r="H42" s="522"/>
      <c r="I42" s="522"/>
      <c r="J42" s="522"/>
      <c r="K42" s="522"/>
      <c r="L42" s="522"/>
      <c r="M42" s="522"/>
      <c r="N42" s="522"/>
      <c r="O42" s="522"/>
      <c r="P42" s="522"/>
      <c r="Q42" s="522"/>
      <c r="R42" s="522"/>
      <c r="S42" s="522"/>
      <c r="T42" s="522"/>
      <c r="U42" s="522"/>
      <c r="V42" s="522"/>
      <c r="W42" s="522"/>
      <c r="X42" s="522"/>
      <c r="Y42" s="522"/>
      <c r="Z42" s="522"/>
      <c r="AA42" s="522"/>
      <c r="AB42" s="522"/>
      <c r="AC42" s="522"/>
      <c r="AD42" s="522"/>
      <c r="AE42" s="522"/>
      <c r="AF42" s="522"/>
      <c r="AG42" s="522"/>
    </row>
    <row r="43" spans="2:46">
      <c r="B43" s="523" t="s">
        <v>823</v>
      </c>
      <c r="D43" s="524"/>
      <c r="G43" s="522"/>
      <c r="H43" s="522"/>
      <c r="I43" s="522"/>
      <c r="J43" s="522"/>
      <c r="K43" s="522"/>
      <c r="L43" s="522"/>
      <c r="M43" s="522"/>
      <c r="N43" s="522"/>
      <c r="O43" s="522"/>
      <c r="P43" s="522"/>
      <c r="Q43" s="522"/>
      <c r="R43" s="522"/>
      <c r="S43" s="522"/>
      <c r="T43" s="522"/>
      <c r="U43" s="522"/>
      <c r="V43" s="522"/>
      <c r="W43" s="522"/>
      <c r="X43" s="522"/>
      <c r="Y43" s="522"/>
      <c r="Z43" s="522"/>
      <c r="AA43" s="522"/>
      <c r="AB43" s="522"/>
      <c r="AC43" s="522"/>
      <c r="AD43" s="522"/>
      <c r="AE43" s="522"/>
      <c r="AF43" s="522"/>
      <c r="AG43" s="522"/>
    </row>
    <row r="44" spans="2:46">
      <c r="B44" s="525" t="str">
        <f>B92</f>
        <v>Prešov &lt;=&gt; Kapušany pri Prešove</v>
      </c>
      <c r="C44" s="526">
        <f>C92</f>
        <v>9.7539999999999996</v>
      </c>
      <c r="D44" s="532">
        <f>D92</f>
        <v>2.9166666666666674E-2</v>
      </c>
      <c r="E44" s="530"/>
      <c r="G44" s="527">
        <f t="shared" ref="G44:AT47" si="11">$D44*G79*G92</f>
        <v>0</v>
      </c>
      <c r="H44" s="527">
        <f t="shared" si="11"/>
        <v>0</v>
      </c>
      <c r="I44" s="527">
        <f t="shared" si="11"/>
        <v>0</v>
      </c>
      <c r="J44" s="527">
        <f t="shared" si="11"/>
        <v>8587.1437218103292</v>
      </c>
      <c r="K44" s="527">
        <f t="shared" si="11"/>
        <v>34417.708078203519</v>
      </c>
      <c r="L44" s="527">
        <f t="shared" si="11"/>
        <v>34481.434203950739</v>
      </c>
      <c r="M44" s="527">
        <f t="shared" si="11"/>
        <v>34538.787717123283</v>
      </c>
      <c r="N44" s="527">
        <f t="shared" si="11"/>
        <v>34604.332716209523</v>
      </c>
      <c r="O44" s="527">
        <f t="shared" si="11"/>
        <v>34668.090657296656</v>
      </c>
      <c r="P44" s="527">
        <f t="shared" si="11"/>
        <v>34725.472804275043</v>
      </c>
      <c r="Q44" s="527">
        <f t="shared" si="11"/>
        <v>34777.638392437242</v>
      </c>
      <c r="R44" s="527">
        <f t="shared" si="11"/>
        <v>34825.360245311545</v>
      </c>
      <c r="S44" s="527">
        <f t="shared" si="11"/>
        <v>34850.067582793468</v>
      </c>
      <c r="T44" s="527">
        <f t="shared" si="11"/>
        <v>34851.696075525186</v>
      </c>
      <c r="U44" s="527">
        <f t="shared" si="11"/>
        <v>34830.227191378865</v>
      </c>
      <c r="V44" s="527">
        <f t="shared" si="11"/>
        <v>34785.688307427161</v>
      </c>
      <c r="W44" s="527">
        <f t="shared" si="11"/>
        <v>34718.152669939154</v>
      </c>
      <c r="X44" s="527">
        <f t="shared" si="11"/>
        <v>34618.858577335137</v>
      </c>
      <c r="Y44" s="527">
        <f t="shared" si="11"/>
        <v>34488.050096633742</v>
      </c>
      <c r="Z44" s="527">
        <f t="shared" si="11"/>
        <v>34326.057661488579</v>
      </c>
      <c r="AA44" s="527">
        <f t="shared" si="11"/>
        <v>34133.296690459887</v>
      </c>
      <c r="AB44" s="527">
        <f t="shared" si="11"/>
        <v>33910.265817663989</v>
      </c>
      <c r="AC44" s="527">
        <f t="shared" si="11"/>
        <v>33643.950748338764</v>
      </c>
      <c r="AD44" s="527">
        <f t="shared" si="11"/>
        <v>33335.337063319639</v>
      </c>
      <c r="AE44" s="527">
        <f t="shared" si="11"/>
        <v>32985.571331051295</v>
      </c>
      <c r="AF44" s="527">
        <f t="shared" si="11"/>
        <v>32595.954004505773</v>
      </c>
      <c r="AG44" s="527">
        <f t="shared" si="11"/>
        <v>32167.931349329989</v>
      </c>
      <c r="AH44" s="527">
        <f t="shared" si="11"/>
        <v>31684.936394569242</v>
      </c>
      <c r="AI44" s="527">
        <f t="shared" si="11"/>
        <v>31149.510565389464</v>
      </c>
      <c r="AJ44" s="527">
        <f t="shared" si="11"/>
        <v>30564.458197437743</v>
      </c>
      <c r="AK44" s="527">
        <f t="shared" si="11"/>
        <v>29932.821955111849</v>
      </c>
      <c r="AL44" s="527">
        <f t="shared" si="11"/>
        <v>29257.85632799115</v>
      </c>
      <c r="AM44" s="527">
        <f t="shared" si="11"/>
        <v>28521.182236632212</v>
      </c>
      <c r="AN44" s="527">
        <f t="shared" si="11"/>
        <v>27728.065082235378</v>
      </c>
      <c r="AO44" s="527">
        <f t="shared" si="11"/>
        <v>26884.096756604282</v>
      </c>
      <c r="AP44" s="527">
        <f t="shared" si="11"/>
        <v>25995.129468325966</v>
      </c>
      <c r="AQ44" s="527">
        <f t="shared" si="11"/>
        <v>25067.207638836597</v>
      </c>
      <c r="AR44" s="527">
        <f t="shared" si="11"/>
        <v>24107.385469760025</v>
      </c>
      <c r="AS44" s="527">
        <f t="shared" si="11"/>
        <v>23121.781162919367</v>
      </c>
      <c r="AT44" s="527">
        <f t="shared" si="11"/>
        <v>22116.49515866545</v>
      </c>
    </row>
    <row r="45" spans="2:46">
      <c r="B45" s="525" t="str">
        <f>B93</f>
        <v>Kapušany pri Prešove &lt;=&gt; Vranov nad Topľou</v>
      </c>
      <c r="C45" s="526">
        <f t="shared" ref="C45:D46" si="12">C93</f>
        <v>36.073</v>
      </c>
      <c r="D45" s="532">
        <f t="shared" si="12"/>
        <v>0.12916666666666665</v>
      </c>
      <c r="E45" s="530"/>
      <c r="G45" s="527">
        <f t="shared" si="11"/>
        <v>0</v>
      </c>
      <c r="H45" s="527">
        <f t="shared" si="11"/>
        <v>0</v>
      </c>
      <c r="I45" s="527">
        <f t="shared" si="11"/>
        <v>0</v>
      </c>
      <c r="J45" s="527">
        <f t="shared" si="11"/>
        <v>21050.446121435081</v>
      </c>
      <c r="K45" s="527">
        <f t="shared" si="11"/>
        <v>84318.714982800011</v>
      </c>
      <c r="L45" s="527">
        <f t="shared" si="11"/>
        <v>84421.319417180406</v>
      </c>
      <c r="M45" s="527">
        <f t="shared" si="11"/>
        <v>84507.390624946755</v>
      </c>
      <c r="N45" s="527">
        <f t="shared" si="11"/>
        <v>84602.73451391104</v>
      </c>
      <c r="O45" s="527">
        <f t="shared" si="11"/>
        <v>84686.822351728944</v>
      </c>
      <c r="P45" s="527">
        <f t="shared" si="11"/>
        <v>84756.395796397366</v>
      </c>
      <c r="Q45" s="527">
        <f t="shared" si="11"/>
        <v>84809.280014262054</v>
      </c>
      <c r="R45" s="527">
        <f t="shared" si="11"/>
        <v>84852.571330101127</v>
      </c>
      <c r="S45" s="527">
        <f t="shared" si="11"/>
        <v>84839.698334452463</v>
      </c>
      <c r="T45" s="527">
        <f t="shared" si="11"/>
        <v>84770.649406062279</v>
      </c>
      <c r="U45" s="527">
        <f t="shared" si="11"/>
        <v>84645.524510967807</v>
      </c>
      <c r="V45" s="527">
        <f t="shared" si="11"/>
        <v>84464.534994681497</v>
      </c>
      <c r="W45" s="527">
        <f t="shared" si="11"/>
        <v>84228.003005511142</v>
      </c>
      <c r="X45" s="527">
        <f t="shared" si="11"/>
        <v>83914.834244160375</v>
      </c>
      <c r="Y45" s="527">
        <f t="shared" si="11"/>
        <v>83525.818135061374</v>
      </c>
      <c r="Z45" s="527">
        <f t="shared" si="11"/>
        <v>83061.950715702915</v>
      </c>
      <c r="AA45" s="527">
        <f t="shared" si="11"/>
        <v>82524.430401635793</v>
      </c>
      <c r="AB45" s="527">
        <f t="shared" si="11"/>
        <v>81914.652834688488</v>
      </c>
      <c r="AC45" s="527">
        <f t="shared" si="11"/>
        <v>81201.39503630322</v>
      </c>
      <c r="AD45" s="527">
        <f t="shared" si="11"/>
        <v>80387.302165245012</v>
      </c>
      <c r="AE45" s="527">
        <f t="shared" si="11"/>
        <v>79475.398619650514</v>
      </c>
      <c r="AF45" s="527">
        <f t="shared" si="11"/>
        <v>78469.069286872371</v>
      </c>
      <c r="AG45" s="527">
        <f t="shared" si="11"/>
        <v>77372.038555752733</v>
      </c>
      <c r="AH45" s="527">
        <f t="shared" si="11"/>
        <v>76144.729296347126</v>
      </c>
      <c r="AI45" s="527">
        <f t="shared" si="11"/>
        <v>74793.582490949455</v>
      </c>
      <c r="AJ45" s="527">
        <f t="shared" si="11"/>
        <v>73325.648267250115</v>
      </c>
      <c r="AK45" s="527">
        <f t="shared" si="11"/>
        <v>71748.524308389155</v>
      </c>
      <c r="AL45" s="527">
        <f t="shared" si="11"/>
        <v>70070.289971520149</v>
      </c>
      <c r="AM45" s="527">
        <f t="shared" si="11"/>
        <v>68247.231162925193</v>
      </c>
      <c r="AN45" s="527">
        <f t="shared" si="11"/>
        <v>66292.313989232585</v>
      </c>
      <c r="AO45" s="527">
        <f t="shared" si="11"/>
        <v>64219.240474849925</v>
      </c>
      <c r="AP45" s="527">
        <f t="shared" si="11"/>
        <v>62042.287364026131</v>
      </c>
      <c r="AQ45" s="527">
        <f t="shared" si="11"/>
        <v>59776.141144282366</v>
      </c>
      <c r="AR45" s="527">
        <f t="shared" si="11"/>
        <v>57437.844100341426</v>
      </c>
      <c r="AS45" s="527">
        <f t="shared" si="11"/>
        <v>55042.152076918232</v>
      </c>
      <c r="AT45" s="527">
        <f t="shared" si="11"/>
        <v>52603.728206322172</v>
      </c>
    </row>
    <row r="46" spans="2:46">
      <c r="B46" s="525" t="str">
        <f>B94</f>
        <v>Vranov nad Topľou &lt;=&gt; Strážske</v>
      </c>
      <c r="C46" s="526">
        <f t="shared" si="12"/>
        <v>14.72</v>
      </c>
      <c r="D46" s="532">
        <f t="shared" si="12"/>
        <v>-1.2500000000000011E-2</v>
      </c>
      <c r="E46" s="530"/>
      <c r="G46" s="527">
        <f t="shared" si="11"/>
        <v>0</v>
      </c>
      <c r="H46" s="527">
        <f t="shared" si="11"/>
        <v>0</v>
      </c>
      <c r="I46" s="527">
        <f t="shared" si="11"/>
        <v>0</v>
      </c>
      <c r="J46" s="527">
        <f t="shared" si="11"/>
        <v>-1162.0411359763648</v>
      </c>
      <c r="K46" s="527">
        <f t="shared" si="11"/>
        <v>-4652.8839400716797</v>
      </c>
      <c r="L46" s="527">
        <f t="shared" si="11"/>
        <v>-4656.6486985834727</v>
      </c>
      <c r="M46" s="527">
        <f t="shared" si="11"/>
        <v>-4659.749625508005</v>
      </c>
      <c r="N46" s="527">
        <f t="shared" si="11"/>
        <v>-4663.7095727960314</v>
      </c>
      <c r="O46" s="527">
        <f t="shared" si="11"/>
        <v>-4666.7230362850187</v>
      </c>
      <c r="P46" s="527">
        <f t="shared" si="11"/>
        <v>-4669.3271720298953</v>
      </c>
      <c r="Q46" s="527">
        <f t="shared" si="11"/>
        <v>-4671.2215590066126</v>
      </c>
      <c r="R46" s="527">
        <f t="shared" si="11"/>
        <v>-4672.7652889595547</v>
      </c>
      <c r="S46" s="527">
        <f t="shared" si="11"/>
        <v>-4671.2159436680886</v>
      </c>
      <c r="T46" s="527">
        <f t="shared" si="11"/>
        <v>-4666.5745524184713</v>
      </c>
      <c r="U46" s="527">
        <f t="shared" si="11"/>
        <v>-4658.8482860667773</v>
      </c>
      <c r="V46" s="527">
        <f t="shared" si="11"/>
        <v>-4648.0504400788022</v>
      </c>
      <c r="W46" s="527">
        <f t="shared" si="11"/>
        <v>-4634.2003972904868</v>
      </c>
      <c r="X46" s="527">
        <f t="shared" si="11"/>
        <v>-4616.139412391095</v>
      </c>
      <c r="Y46" s="527">
        <f t="shared" si="11"/>
        <v>-4593.9131774510633</v>
      </c>
      <c r="Z46" s="527">
        <f t="shared" si="11"/>
        <v>-4567.5787141382643</v>
      </c>
      <c r="AA46" s="527">
        <f t="shared" si="11"/>
        <v>-4537.2041306726924</v>
      </c>
      <c r="AB46" s="527">
        <f t="shared" si="11"/>
        <v>-4502.8683286418236</v>
      </c>
      <c r="AC46" s="527">
        <f t="shared" si="11"/>
        <v>-4462.8574227189347</v>
      </c>
      <c r="AD46" s="527">
        <f t="shared" si="11"/>
        <v>-4417.3198315435156</v>
      </c>
      <c r="AE46" s="527">
        <f t="shared" si="11"/>
        <v>-4366.4247036957449</v>
      </c>
      <c r="AF46" s="527">
        <f t="shared" si="11"/>
        <v>-4310.360869044458</v>
      </c>
      <c r="AG46" s="527">
        <f t="shared" si="11"/>
        <v>-4249.3356683276388</v>
      </c>
      <c r="AH46" s="527">
        <f t="shared" si="11"/>
        <v>-4181.1785670506961</v>
      </c>
      <c r="AI46" s="527">
        <f t="shared" si="11"/>
        <v>-4106.2470366704501</v>
      </c>
      <c r="AJ46" s="527">
        <f t="shared" si="11"/>
        <v>-4024.9317295255082</v>
      </c>
      <c r="AK46" s="527">
        <f t="shared" si="11"/>
        <v>-3937.6530687400391</v>
      </c>
      <c r="AL46" s="527">
        <f t="shared" si="11"/>
        <v>-3844.8576063117921</v>
      </c>
      <c r="AM46" s="527">
        <f t="shared" si="11"/>
        <v>-3744.150104163647</v>
      </c>
      <c r="AN46" s="527">
        <f t="shared" si="11"/>
        <v>-3636.246054064256</v>
      </c>
      <c r="AO46" s="527">
        <f t="shared" si="11"/>
        <v>-3521.9007935708028</v>
      </c>
      <c r="AP46" s="527">
        <f t="shared" si="11"/>
        <v>-3401.9006311594103</v>
      </c>
      <c r="AQ46" s="527">
        <f t="shared" si="11"/>
        <v>-3277.0537737624159</v>
      </c>
      <c r="AR46" s="527">
        <f t="shared" si="11"/>
        <v>-3148.2969743958238</v>
      </c>
      <c r="AS46" s="527">
        <f t="shared" si="11"/>
        <v>-3016.4410106255896</v>
      </c>
      <c r="AT46" s="527">
        <f t="shared" si="11"/>
        <v>-2882.2909974416425</v>
      </c>
    </row>
    <row r="47" spans="2:46">
      <c r="B47" s="525" t="str">
        <f>B95</f>
        <v>Kapušany pri Prešove &lt;=&gt; Raslavice</v>
      </c>
      <c r="C47" s="526">
        <f>C95</f>
        <v>14.586</v>
      </c>
      <c r="D47" s="532">
        <f>D95</f>
        <v>1.6666666666666663E-2</v>
      </c>
      <c r="E47" s="530"/>
      <c r="G47" s="527">
        <f t="shared" si="11"/>
        <v>0</v>
      </c>
      <c r="H47" s="527">
        <f t="shared" si="11"/>
        <v>0</v>
      </c>
      <c r="I47" s="527">
        <f t="shared" si="11"/>
        <v>0</v>
      </c>
      <c r="J47" s="527">
        <f t="shared" si="11"/>
        <v>0</v>
      </c>
      <c r="K47" s="527">
        <f t="shared" si="11"/>
        <v>0</v>
      </c>
      <c r="L47" s="527">
        <f t="shared" si="11"/>
        <v>0</v>
      </c>
      <c r="M47" s="527">
        <f t="shared" si="11"/>
        <v>0</v>
      </c>
      <c r="N47" s="527">
        <f t="shared" si="11"/>
        <v>0</v>
      </c>
      <c r="O47" s="527">
        <f t="shared" si="11"/>
        <v>0</v>
      </c>
      <c r="P47" s="527">
        <f t="shared" si="11"/>
        <v>0</v>
      </c>
      <c r="Q47" s="527">
        <f t="shared" si="11"/>
        <v>0</v>
      </c>
      <c r="R47" s="527">
        <f t="shared" si="11"/>
        <v>0</v>
      </c>
      <c r="S47" s="527">
        <f t="shared" si="11"/>
        <v>0</v>
      </c>
      <c r="T47" s="527">
        <f t="shared" si="11"/>
        <v>0</v>
      </c>
      <c r="U47" s="527">
        <f t="shared" si="11"/>
        <v>0</v>
      </c>
      <c r="V47" s="527">
        <f t="shared" si="11"/>
        <v>0</v>
      </c>
      <c r="W47" s="527">
        <f t="shared" si="11"/>
        <v>0</v>
      </c>
      <c r="X47" s="527">
        <f t="shared" si="11"/>
        <v>0</v>
      </c>
      <c r="Y47" s="527">
        <f t="shared" si="11"/>
        <v>0</v>
      </c>
      <c r="Z47" s="527">
        <f t="shared" si="11"/>
        <v>0</v>
      </c>
      <c r="AA47" s="527">
        <f t="shared" si="11"/>
        <v>0</v>
      </c>
      <c r="AB47" s="527">
        <f t="shared" si="11"/>
        <v>0</v>
      </c>
      <c r="AC47" s="527">
        <f t="shared" si="11"/>
        <v>0</v>
      </c>
      <c r="AD47" s="527">
        <f t="shared" si="11"/>
        <v>0</v>
      </c>
      <c r="AE47" s="527">
        <f t="shared" si="11"/>
        <v>0</v>
      </c>
      <c r="AF47" s="527">
        <f t="shared" si="11"/>
        <v>0</v>
      </c>
      <c r="AG47" s="527">
        <f t="shared" si="11"/>
        <v>0</v>
      </c>
      <c r="AH47" s="527">
        <f t="shared" si="11"/>
        <v>0</v>
      </c>
      <c r="AI47" s="527">
        <f t="shared" si="11"/>
        <v>0</v>
      </c>
      <c r="AJ47" s="527">
        <f t="shared" si="11"/>
        <v>0</v>
      </c>
      <c r="AK47" s="527">
        <f t="shared" si="11"/>
        <v>0</v>
      </c>
      <c r="AL47" s="527">
        <f t="shared" si="11"/>
        <v>0</v>
      </c>
      <c r="AM47" s="527">
        <f t="shared" si="11"/>
        <v>0</v>
      </c>
      <c r="AN47" s="527">
        <f t="shared" si="11"/>
        <v>0</v>
      </c>
      <c r="AO47" s="527">
        <f t="shared" si="11"/>
        <v>0</v>
      </c>
      <c r="AP47" s="527">
        <f t="shared" si="11"/>
        <v>0</v>
      </c>
      <c r="AQ47" s="527">
        <f t="shared" si="11"/>
        <v>0</v>
      </c>
      <c r="AR47" s="527">
        <f t="shared" si="11"/>
        <v>0</v>
      </c>
      <c r="AS47" s="527">
        <f t="shared" si="11"/>
        <v>0</v>
      </c>
      <c r="AT47" s="527">
        <f t="shared" si="11"/>
        <v>0</v>
      </c>
    </row>
    <row r="49" spans="2:46" ht="30.75" customHeight="1">
      <c r="C49" s="384"/>
      <c r="D49" s="384"/>
      <c r="E49" s="384"/>
    </row>
    <row r="50" spans="2:46">
      <c r="C50" s="384"/>
      <c r="D50" s="384"/>
      <c r="E50" s="384"/>
    </row>
    <row r="51" spans="2:46">
      <c r="C51" s="384"/>
      <c r="D51" s="384"/>
      <c r="E51" s="384"/>
    </row>
    <row r="52" spans="2:46">
      <c r="C52" s="779" t="s">
        <v>820</v>
      </c>
      <c r="D52" s="518"/>
      <c r="E52" s="518"/>
      <c r="F52" s="518"/>
    </row>
    <row r="53" spans="2:46">
      <c r="C53" s="518"/>
      <c r="D53" s="779"/>
      <c r="E53" s="779"/>
      <c r="F53" s="520"/>
    </row>
    <row r="54" spans="2:46" ht="15.75">
      <c r="B54" s="791" t="s">
        <v>814</v>
      </c>
      <c r="C54" s="780">
        <f>SUM(C57:C60)</f>
        <v>81.958333333333343</v>
      </c>
      <c r="D54" s="780"/>
      <c r="E54" s="780"/>
      <c r="G54" s="521">
        <f t="shared" ref="G54:AT54" si="13">SUM(G57:G60)</f>
        <v>0</v>
      </c>
      <c r="H54" s="521">
        <f t="shared" si="13"/>
        <v>0</v>
      </c>
      <c r="I54" s="521">
        <f t="shared" si="13"/>
        <v>0</v>
      </c>
      <c r="J54" s="521">
        <f t="shared" si="13"/>
        <v>0</v>
      </c>
      <c r="K54" s="521">
        <f t="shared" si="13"/>
        <v>0</v>
      </c>
      <c r="L54" s="521">
        <f t="shared" si="13"/>
        <v>0</v>
      </c>
      <c r="M54" s="521">
        <f t="shared" si="13"/>
        <v>0</v>
      </c>
      <c r="N54" s="521">
        <f t="shared" si="13"/>
        <v>0</v>
      </c>
      <c r="O54" s="521">
        <f t="shared" si="13"/>
        <v>0</v>
      </c>
      <c r="P54" s="521">
        <f t="shared" si="13"/>
        <v>0</v>
      </c>
      <c r="Q54" s="521">
        <f t="shared" si="13"/>
        <v>0</v>
      </c>
      <c r="R54" s="521">
        <f t="shared" si="13"/>
        <v>0</v>
      </c>
      <c r="S54" s="521">
        <f t="shared" si="13"/>
        <v>0</v>
      </c>
      <c r="T54" s="521">
        <f t="shared" si="13"/>
        <v>0</v>
      </c>
      <c r="U54" s="521">
        <f t="shared" si="13"/>
        <v>0</v>
      </c>
      <c r="V54" s="521">
        <f t="shared" si="13"/>
        <v>0</v>
      </c>
      <c r="W54" s="521">
        <f t="shared" si="13"/>
        <v>0</v>
      </c>
      <c r="X54" s="521">
        <f t="shared" si="13"/>
        <v>0</v>
      </c>
      <c r="Y54" s="521">
        <f t="shared" si="13"/>
        <v>0</v>
      </c>
      <c r="Z54" s="521">
        <f t="shared" si="13"/>
        <v>0</v>
      </c>
      <c r="AA54" s="521">
        <f t="shared" si="13"/>
        <v>0</v>
      </c>
      <c r="AB54" s="521">
        <f t="shared" si="13"/>
        <v>0</v>
      </c>
      <c r="AC54" s="521">
        <f t="shared" si="13"/>
        <v>0</v>
      </c>
      <c r="AD54" s="521">
        <f t="shared" si="13"/>
        <v>0</v>
      </c>
      <c r="AE54" s="521">
        <f t="shared" si="13"/>
        <v>0</v>
      </c>
      <c r="AF54" s="521">
        <f t="shared" si="13"/>
        <v>0</v>
      </c>
      <c r="AG54" s="521">
        <f t="shared" si="13"/>
        <v>0</v>
      </c>
      <c r="AH54" s="521">
        <f t="shared" si="13"/>
        <v>0</v>
      </c>
      <c r="AI54" s="521">
        <f t="shared" si="13"/>
        <v>0</v>
      </c>
      <c r="AJ54" s="521">
        <f t="shared" si="13"/>
        <v>0</v>
      </c>
      <c r="AK54" s="521">
        <f t="shared" si="13"/>
        <v>0</v>
      </c>
      <c r="AL54" s="521">
        <f t="shared" si="13"/>
        <v>0</v>
      </c>
      <c r="AM54" s="521">
        <f t="shared" si="13"/>
        <v>0</v>
      </c>
      <c r="AN54" s="521">
        <f t="shared" si="13"/>
        <v>0</v>
      </c>
      <c r="AO54" s="521">
        <f t="shared" si="13"/>
        <v>0</v>
      </c>
      <c r="AP54" s="521">
        <f t="shared" si="13"/>
        <v>0</v>
      </c>
      <c r="AQ54" s="521">
        <f t="shared" si="13"/>
        <v>0</v>
      </c>
      <c r="AR54" s="521">
        <f t="shared" si="13"/>
        <v>0</v>
      </c>
      <c r="AS54" s="521">
        <f t="shared" si="13"/>
        <v>0</v>
      </c>
      <c r="AT54" s="521">
        <f t="shared" si="13"/>
        <v>0</v>
      </c>
    </row>
    <row r="56" spans="2:46">
      <c r="B56" s="523" t="s">
        <v>823</v>
      </c>
      <c r="D56" s="524"/>
    </row>
    <row r="57" spans="2:46">
      <c r="B57" s="525" t="str">
        <f>B92</f>
        <v>Prešov &lt;=&gt; Kapušany pri Prešove</v>
      </c>
      <c r="C57" s="793">
        <f>C69</f>
        <v>12.083333333333334</v>
      </c>
      <c r="D57" s="524"/>
      <c r="G57" s="527">
        <f t="shared" ref="G57:AT60" si="14">G69*$C57*G79</f>
        <v>0</v>
      </c>
      <c r="H57" s="527">
        <f t="shared" si="14"/>
        <v>0</v>
      </c>
      <c r="I57" s="527">
        <f t="shared" si="14"/>
        <v>0</v>
      </c>
      <c r="J57" s="527">
        <f t="shared" si="14"/>
        <v>0</v>
      </c>
      <c r="K57" s="527">
        <f t="shared" si="14"/>
        <v>0</v>
      </c>
      <c r="L57" s="527">
        <f t="shared" si="14"/>
        <v>0</v>
      </c>
      <c r="M57" s="527">
        <f t="shared" si="14"/>
        <v>0</v>
      </c>
      <c r="N57" s="527">
        <f t="shared" si="14"/>
        <v>0</v>
      </c>
      <c r="O57" s="527">
        <f t="shared" si="14"/>
        <v>0</v>
      </c>
      <c r="P57" s="527">
        <f t="shared" si="14"/>
        <v>0</v>
      </c>
      <c r="Q57" s="527">
        <f t="shared" si="14"/>
        <v>0</v>
      </c>
      <c r="R57" s="527">
        <f t="shared" si="14"/>
        <v>0</v>
      </c>
      <c r="S57" s="527">
        <f t="shared" si="14"/>
        <v>0</v>
      </c>
      <c r="T57" s="527">
        <f t="shared" si="14"/>
        <v>0</v>
      </c>
      <c r="U57" s="527">
        <f t="shared" si="14"/>
        <v>0</v>
      </c>
      <c r="V57" s="527">
        <f t="shared" si="14"/>
        <v>0</v>
      </c>
      <c r="W57" s="527">
        <f t="shared" si="14"/>
        <v>0</v>
      </c>
      <c r="X57" s="527">
        <f t="shared" si="14"/>
        <v>0</v>
      </c>
      <c r="Y57" s="527">
        <f t="shared" si="14"/>
        <v>0</v>
      </c>
      <c r="Z57" s="527">
        <f t="shared" si="14"/>
        <v>0</v>
      </c>
      <c r="AA57" s="527">
        <f t="shared" si="14"/>
        <v>0</v>
      </c>
      <c r="AB57" s="527">
        <f t="shared" si="14"/>
        <v>0</v>
      </c>
      <c r="AC57" s="527">
        <f t="shared" si="14"/>
        <v>0</v>
      </c>
      <c r="AD57" s="527">
        <f t="shared" si="14"/>
        <v>0</v>
      </c>
      <c r="AE57" s="527">
        <f t="shared" si="14"/>
        <v>0</v>
      </c>
      <c r="AF57" s="527">
        <f t="shared" si="14"/>
        <v>0</v>
      </c>
      <c r="AG57" s="527">
        <f t="shared" si="14"/>
        <v>0</v>
      </c>
      <c r="AH57" s="527">
        <f t="shared" si="14"/>
        <v>0</v>
      </c>
      <c r="AI57" s="527">
        <f t="shared" si="14"/>
        <v>0</v>
      </c>
      <c r="AJ57" s="527">
        <f t="shared" si="14"/>
        <v>0</v>
      </c>
      <c r="AK57" s="527">
        <f t="shared" si="14"/>
        <v>0</v>
      </c>
      <c r="AL57" s="527">
        <f t="shared" si="14"/>
        <v>0</v>
      </c>
      <c r="AM57" s="527">
        <f t="shared" si="14"/>
        <v>0</v>
      </c>
      <c r="AN57" s="527">
        <f t="shared" si="14"/>
        <v>0</v>
      </c>
      <c r="AO57" s="527">
        <f t="shared" si="14"/>
        <v>0</v>
      </c>
      <c r="AP57" s="527">
        <f t="shared" si="14"/>
        <v>0</v>
      </c>
      <c r="AQ57" s="527">
        <f t="shared" si="14"/>
        <v>0</v>
      </c>
      <c r="AR57" s="527">
        <f t="shared" si="14"/>
        <v>0</v>
      </c>
      <c r="AS57" s="527">
        <f t="shared" si="14"/>
        <v>0</v>
      </c>
      <c r="AT57" s="527">
        <f t="shared" si="14"/>
        <v>0</v>
      </c>
    </row>
    <row r="58" spans="2:46">
      <c r="B58" s="525" t="str">
        <f>B93</f>
        <v>Kapušany pri Prešove &lt;=&gt; Vranov nad Topľou</v>
      </c>
      <c r="C58" s="793">
        <f t="shared" ref="C58:C59" si="15">C70</f>
        <v>39.175000000000004</v>
      </c>
      <c r="D58" s="524"/>
      <c r="G58" s="527">
        <f t="shared" si="14"/>
        <v>0</v>
      </c>
      <c r="H58" s="527">
        <f t="shared" si="14"/>
        <v>0</v>
      </c>
      <c r="I58" s="527">
        <f t="shared" si="14"/>
        <v>0</v>
      </c>
      <c r="J58" s="527">
        <f t="shared" si="14"/>
        <v>0</v>
      </c>
      <c r="K58" s="527">
        <f t="shared" si="14"/>
        <v>0</v>
      </c>
      <c r="L58" s="527">
        <f t="shared" si="14"/>
        <v>0</v>
      </c>
      <c r="M58" s="527">
        <f t="shared" si="14"/>
        <v>0</v>
      </c>
      <c r="N58" s="527">
        <f t="shared" si="14"/>
        <v>0</v>
      </c>
      <c r="O58" s="527">
        <f t="shared" si="14"/>
        <v>0</v>
      </c>
      <c r="P58" s="527">
        <f t="shared" si="14"/>
        <v>0</v>
      </c>
      <c r="Q58" s="527">
        <f t="shared" si="14"/>
        <v>0</v>
      </c>
      <c r="R58" s="527">
        <f t="shared" si="14"/>
        <v>0</v>
      </c>
      <c r="S58" s="527">
        <f t="shared" si="14"/>
        <v>0</v>
      </c>
      <c r="T58" s="527">
        <f t="shared" si="14"/>
        <v>0</v>
      </c>
      <c r="U58" s="527">
        <f t="shared" si="14"/>
        <v>0</v>
      </c>
      <c r="V58" s="527">
        <f t="shared" si="14"/>
        <v>0</v>
      </c>
      <c r="W58" s="527">
        <f t="shared" si="14"/>
        <v>0</v>
      </c>
      <c r="X58" s="527">
        <f t="shared" si="14"/>
        <v>0</v>
      </c>
      <c r="Y58" s="527">
        <f t="shared" si="14"/>
        <v>0</v>
      </c>
      <c r="Z58" s="527">
        <f t="shared" si="14"/>
        <v>0</v>
      </c>
      <c r="AA58" s="527">
        <f t="shared" si="14"/>
        <v>0</v>
      </c>
      <c r="AB58" s="527">
        <f t="shared" si="14"/>
        <v>0</v>
      </c>
      <c r="AC58" s="527">
        <f t="shared" si="14"/>
        <v>0</v>
      </c>
      <c r="AD58" s="527">
        <f t="shared" si="14"/>
        <v>0</v>
      </c>
      <c r="AE58" s="527">
        <f t="shared" si="14"/>
        <v>0</v>
      </c>
      <c r="AF58" s="527">
        <f t="shared" si="14"/>
        <v>0</v>
      </c>
      <c r="AG58" s="527">
        <f t="shared" si="14"/>
        <v>0</v>
      </c>
      <c r="AH58" s="527">
        <f t="shared" si="14"/>
        <v>0</v>
      </c>
      <c r="AI58" s="527">
        <f t="shared" si="14"/>
        <v>0</v>
      </c>
      <c r="AJ58" s="527">
        <f t="shared" si="14"/>
        <v>0</v>
      </c>
      <c r="AK58" s="527">
        <f t="shared" si="14"/>
        <v>0</v>
      </c>
      <c r="AL58" s="527">
        <f t="shared" si="14"/>
        <v>0</v>
      </c>
      <c r="AM58" s="527">
        <f t="shared" si="14"/>
        <v>0</v>
      </c>
      <c r="AN58" s="527">
        <f t="shared" si="14"/>
        <v>0</v>
      </c>
      <c r="AO58" s="527">
        <f t="shared" si="14"/>
        <v>0</v>
      </c>
      <c r="AP58" s="527">
        <f t="shared" si="14"/>
        <v>0</v>
      </c>
      <c r="AQ58" s="527">
        <f t="shared" si="14"/>
        <v>0</v>
      </c>
      <c r="AR58" s="527">
        <f t="shared" si="14"/>
        <v>0</v>
      </c>
      <c r="AS58" s="527">
        <f t="shared" si="14"/>
        <v>0</v>
      </c>
      <c r="AT58" s="527">
        <f t="shared" si="14"/>
        <v>0</v>
      </c>
    </row>
    <row r="59" spans="2:46">
      <c r="B59" s="525" t="str">
        <f>B94</f>
        <v>Vranov nad Topľou &lt;=&gt; Strážske</v>
      </c>
      <c r="C59" s="793">
        <f t="shared" si="15"/>
        <v>14.9</v>
      </c>
      <c r="D59" s="524"/>
      <c r="G59" s="527">
        <f t="shared" si="14"/>
        <v>0</v>
      </c>
      <c r="H59" s="527">
        <f t="shared" si="14"/>
        <v>0</v>
      </c>
      <c r="I59" s="527">
        <f t="shared" si="14"/>
        <v>0</v>
      </c>
      <c r="J59" s="527">
        <f t="shared" si="14"/>
        <v>0</v>
      </c>
      <c r="K59" s="527">
        <f t="shared" si="14"/>
        <v>0</v>
      </c>
      <c r="L59" s="527">
        <f t="shared" si="14"/>
        <v>0</v>
      </c>
      <c r="M59" s="527">
        <f t="shared" si="14"/>
        <v>0</v>
      </c>
      <c r="N59" s="527">
        <f t="shared" si="14"/>
        <v>0</v>
      </c>
      <c r="O59" s="527">
        <f t="shared" si="14"/>
        <v>0</v>
      </c>
      <c r="P59" s="527">
        <f t="shared" si="14"/>
        <v>0</v>
      </c>
      <c r="Q59" s="527">
        <f t="shared" si="14"/>
        <v>0</v>
      </c>
      <c r="R59" s="527">
        <f t="shared" si="14"/>
        <v>0</v>
      </c>
      <c r="S59" s="527">
        <f t="shared" si="14"/>
        <v>0</v>
      </c>
      <c r="T59" s="527">
        <f t="shared" si="14"/>
        <v>0</v>
      </c>
      <c r="U59" s="527">
        <f t="shared" si="14"/>
        <v>0</v>
      </c>
      <c r="V59" s="527">
        <f t="shared" si="14"/>
        <v>0</v>
      </c>
      <c r="W59" s="527">
        <f t="shared" si="14"/>
        <v>0</v>
      </c>
      <c r="X59" s="527">
        <f t="shared" si="14"/>
        <v>0</v>
      </c>
      <c r="Y59" s="527">
        <f t="shared" si="14"/>
        <v>0</v>
      </c>
      <c r="Z59" s="527">
        <f t="shared" si="14"/>
        <v>0</v>
      </c>
      <c r="AA59" s="527">
        <f t="shared" si="14"/>
        <v>0</v>
      </c>
      <c r="AB59" s="527">
        <f t="shared" si="14"/>
        <v>0</v>
      </c>
      <c r="AC59" s="527">
        <f t="shared" si="14"/>
        <v>0</v>
      </c>
      <c r="AD59" s="527">
        <f t="shared" si="14"/>
        <v>0</v>
      </c>
      <c r="AE59" s="527">
        <f t="shared" si="14"/>
        <v>0</v>
      </c>
      <c r="AF59" s="527">
        <f t="shared" si="14"/>
        <v>0</v>
      </c>
      <c r="AG59" s="527">
        <f t="shared" si="14"/>
        <v>0</v>
      </c>
      <c r="AH59" s="527">
        <f t="shared" si="14"/>
        <v>0</v>
      </c>
      <c r="AI59" s="527">
        <f t="shared" si="14"/>
        <v>0</v>
      </c>
      <c r="AJ59" s="527">
        <f t="shared" si="14"/>
        <v>0</v>
      </c>
      <c r="AK59" s="527">
        <f t="shared" si="14"/>
        <v>0</v>
      </c>
      <c r="AL59" s="527">
        <f t="shared" si="14"/>
        <v>0</v>
      </c>
      <c r="AM59" s="527">
        <f t="shared" si="14"/>
        <v>0</v>
      </c>
      <c r="AN59" s="527">
        <f t="shared" si="14"/>
        <v>0</v>
      </c>
      <c r="AO59" s="527">
        <f t="shared" si="14"/>
        <v>0</v>
      </c>
      <c r="AP59" s="527">
        <f t="shared" si="14"/>
        <v>0</v>
      </c>
      <c r="AQ59" s="527">
        <f t="shared" si="14"/>
        <v>0</v>
      </c>
      <c r="AR59" s="527">
        <f t="shared" si="14"/>
        <v>0</v>
      </c>
      <c r="AS59" s="527">
        <f t="shared" si="14"/>
        <v>0</v>
      </c>
      <c r="AT59" s="527">
        <f t="shared" si="14"/>
        <v>0</v>
      </c>
    </row>
    <row r="60" spans="2:46">
      <c r="B60" s="525" t="str">
        <f>B95</f>
        <v>Kapušany pri Prešove &lt;=&gt; Raslavice</v>
      </c>
      <c r="C60" s="793">
        <f>C72</f>
        <v>15.799999999999999</v>
      </c>
      <c r="D60" s="524"/>
      <c r="G60" s="527">
        <f t="shared" si="14"/>
        <v>0</v>
      </c>
      <c r="H60" s="527">
        <f t="shared" si="14"/>
        <v>0</v>
      </c>
      <c r="I60" s="527">
        <f t="shared" si="14"/>
        <v>0</v>
      </c>
      <c r="J60" s="527">
        <f t="shared" si="14"/>
        <v>0</v>
      </c>
      <c r="K60" s="527">
        <f t="shared" si="14"/>
        <v>0</v>
      </c>
      <c r="L60" s="527">
        <f t="shared" si="14"/>
        <v>0</v>
      </c>
      <c r="M60" s="527">
        <f t="shared" si="14"/>
        <v>0</v>
      </c>
      <c r="N60" s="527">
        <f t="shared" si="14"/>
        <v>0</v>
      </c>
      <c r="O60" s="527">
        <f t="shared" si="14"/>
        <v>0</v>
      </c>
      <c r="P60" s="527">
        <f t="shared" si="14"/>
        <v>0</v>
      </c>
      <c r="Q60" s="527">
        <f t="shared" si="14"/>
        <v>0</v>
      </c>
      <c r="R60" s="527">
        <f t="shared" si="14"/>
        <v>0</v>
      </c>
      <c r="S60" s="527">
        <f t="shared" si="14"/>
        <v>0</v>
      </c>
      <c r="T60" s="527">
        <f t="shared" si="14"/>
        <v>0</v>
      </c>
      <c r="U60" s="527">
        <f t="shared" si="14"/>
        <v>0</v>
      </c>
      <c r="V60" s="527">
        <f t="shared" si="14"/>
        <v>0</v>
      </c>
      <c r="W60" s="527">
        <f t="shared" si="14"/>
        <v>0</v>
      </c>
      <c r="X60" s="527">
        <f t="shared" si="14"/>
        <v>0</v>
      </c>
      <c r="Y60" s="527">
        <f t="shared" si="14"/>
        <v>0</v>
      </c>
      <c r="Z60" s="527">
        <f t="shared" si="14"/>
        <v>0</v>
      </c>
      <c r="AA60" s="527">
        <f t="shared" si="14"/>
        <v>0</v>
      </c>
      <c r="AB60" s="527">
        <f t="shared" si="14"/>
        <v>0</v>
      </c>
      <c r="AC60" s="527">
        <f t="shared" si="14"/>
        <v>0</v>
      </c>
      <c r="AD60" s="527">
        <f t="shared" si="14"/>
        <v>0</v>
      </c>
      <c r="AE60" s="527">
        <f t="shared" si="14"/>
        <v>0</v>
      </c>
      <c r="AF60" s="527">
        <f t="shared" si="14"/>
        <v>0</v>
      </c>
      <c r="AG60" s="527">
        <f t="shared" si="14"/>
        <v>0</v>
      </c>
      <c r="AH60" s="527">
        <f t="shared" si="14"/>
        <v>0</v>
      </c>
      <c r="AI60" s="527">
        <f t="shared" si="14"/>
        <v>0</v>
      </c>
      <c r="AJ60" s="527">
        <f t="shared" si="14"/>
        <v>0</v>
      </c>
      <c r="AK60" s="527">
        <f t="shared" si="14"/>
        <v>0</v>
      </c>
      <c r="AL60" s="527">
        <f t="shared" si="14"/>
        <v>0</v>
      </c>
      <c r="AM60" s="527">
        <f t="shared" si="14"/>
        <v>0</v>
      </c>
      <c r="AN60" s="527">
        <f t="shared" si="14"/>
        <v>0</v>
      </c>
      <c r="AO60" s="527">
        <f t="shared" si="14"/>
        <v>0</v>
      </c>
      <c r="AP60" s="527">
        <f t="shared" si="14"/>
        <v>0</v>
      </c>
      <c r="AQ60" s="527">
        <f t="shared" si="14"/>
        <v>0</v>
      </c>
      <c r="AR60" s="527">
        <f t="shared" si="14"/>
        <v>0</v>
      </c>
      <c r="AS60" s="527">
        <f t="shared" si="14"/>
        <v>0</v>
      </c>
      <c r="AT60" s="527">
        <f t="shared" si="14"/>
        <v>0</v>
      </c>
    </row>
    <row r="61" spans="2:46">
      <c r="B61" s="533"/>
      <c r="C61" s="534"/>
      <c r="D61" s="524"/>
      <c r="G61" s="527"/>
      <c r="H61" s="527"/>
      <c r="I61" s="527"/>
      <c r="J61" s="527"/>
      <c r="K61" s="527"/>
      <c r="L61" s="527"/>
      <c r="M61" s="527"/>
      <c r="N61" s="527"/>
      <c r="O61" s="527"/>
      <c r="P61" s="527"/>
      <c r="Q61" s="527"/>
      <c r="R61" s="527"/>
      <c r="S61" s="527"/>
      <c r="T61" s="527"/>
      <c r="U61" s="527"/>
      <c r="V61" s="527"/>
      <c r="W61" s="527"/>
      <c r="X61" s="527"/>
      <c r="Y61" s="527"/>
      <c r="Z61" s="527"/>
      <c r="AA61" s="527"/>
      <c r="AB61" s="527"/>
      <c r="AC61" s="527"/>
      <c r="AD61" s="527"/>
      <c r="AE61" s="527"/>
      <c r="AF61" s="527"/>
      <c r="AG61" s="527"/>
      <c r="AH61" s="527"/>
    </row>
    <row r="62" spans="2:46" ht="35.25" customHeight="1">
      <c r="C62" s="384"/>
      <c r="D62" s="384"/>
      <c r="E62" s="384"/>
    </row>
    <row r="63" spans="2:46">
      <c r="C63" s="384"/>
      <c r="D63" s="384"/>
      <c r="E63" s="384"/>
    </row>
    <row r="64" spans="2:46">
      <c r="C64" s="779" t="s">
        <v>820</v>
      </c>
      <c r="D64" s="518"/>
      <c r="E64" s="518"/>
      <c r="F64" s="518"/>
    </row>
    <row r="65" spans="2:46">
      <c r="C65" s="518"/>
      <c r="D65" s="779"/>
      <c r="E65" s="779"/>
      <c r="F65" s="520"/>
    </row>
    <row r="66" spans="2:46" ht="15.75">
      <c r="B66" s="791" t="s">
        <v>819</v>
      </c>
      <c r="C66" s="780">
        <f>SUM(C69:C72)</f>
        <v>81.958333333333343</v>
      </c>
      <c r="D66" s="780"/>
      <c r="E66" s="780"/>
      <c r="G66" s="521">
        <f t="shared" ref="G66:AJ66" si="16">SUMPRODUCT(G69:G72,$C$69:$C$72)/SUM($C$69:$C$72)</f>
        <v>0</v>
      </c>
      <c r="H66" s="521">
        <f t="shared" si="16"/>
        <v>0</v>
      </c>
      <c r="I66" s="521">
        <f t="shared" si="16"/>
        <v>0</v>
      </c>
      <c r="J66" s="521">
        <f t="shared" si="16"/>
        <v>0</v>
      </c>
      <c r="K66" s="521">
        <f t="shared" si="16"/>
        <v>0</v>
      </c>
      <c r="L66" s="521">
        <f t="shared" si="16"/>
        <v>0</v>
      </c>
      <c r="M66" s="521">
        <f t="shared" si="16"/>
        <v>0</v>
      </c>
      <c r="N66" s="521">
        <f t="shared" si="16"/>
        <v>0</v>
      </c>
      <c r="O66" s="521">
        <f t="shared" si="16"/>
        <v>0</v>
      </c>
      <c r="P66" s="521">
        <f t="shared" si="16"/>
        <v>0</v>
      </c>
      <c r="Q66" s="521">
        <f t="shared" si="16"/>
        <v>0</v>
      </c>
      <c r="R66" s="521">
        <f t="shared" si="16"/>
        <v>0</v>
      </c>
      <c r="S66" s="521">
        <f t="shared" si="16"/>
        <v>0</v>
      </c>
      <c r="T66" s="521">
        <f t="shared" si="16"/>
        <v>0</v>
      </c>
      <c r="U66" s="521">
        <f t="shared" si="16"/>
        <v>0</v>
      </c>
      <c r="V66" s="521">
        <f t="shared" si="16"/>
        <v>0</v>
      </c>
      <c r="W66" s="521">
        <f t="shared" si="16"/>
        <v>0</v>
      </c>
      <c r="X66" s="521">
        <f t="shared" si="16"/>
        <v>0</v>
      </c>
      <c r="Y66" s="521">
        <f t="shared" si="16"/>
        <v>0</v>
      </c>
      <c r="Z66" s="521">
        <f t="shared" si="16"/>
        <v>0</v>
      </c>
      <c r="AA66" s="521">
        <f t="shared" si="16"/>
        <v>0</v>
      </c>
      <c r="AB66" s="521">
        <f t="shared" si="16"/>
        <v>0</v>
      </c>
      <c r="AC66" s="521">
        <f t="shared" si="16"/>
        <v>0</v>
      </c>
      <c r="AD66" s="521">
        <f t="shared" si="16"/>
        <v>0</v>
      </c>
      <c r="AE66" s="521">
        <f t="shared" si="16"/>
        <v>0</v>
      </c>
      <c r="AF66" s="521">
        <f t="shared" si="16"/>
        <v>0</v>
      </c>
      <c r="AG66" s="521">
        <f t="shared" si="16"/>
        <v>0</v>
      </c>
      <c r="AH66" s="521">
        <f t="shared" si="16"/>
        <v>0</v>
      </c>
      <c r="AI66" s="521">
        <f t="shared" si="16"/>
        <v>0</v>
      </c>
      <c r="AJ66" s="521">
        <f t="shared" si="16"/>
        <v>0</v>
      </c>
      <c r="AK66" s="521">
        <f t="shared" ref="AK66:AT66" si="17">SUMPRODUCT(AK69:AK72,$C$69:$C$72)/SUM($C$69:$C$72)</f>
        <v>0</v>
      </c>
      <c r="AL66" s="521">
        <f t="shared" si="17"/>
        <v>0</v>
      </c>
      <c r="AM66" s="521">
        <f t="shared" si="17"/>
        <v>0</v>
      </c>
      <c r="AN66" s="521">
        <f t="shared" si="17"/>
        <v>0</v>
      </c>
      <c r="AO66" s="521">
        <f t="shared" si="17"/>
        <v>0</v>
      </c>
      <c r="AP66" s="521">
        <f t="shared" si="17"/>
        <v>0</v>
      </c>
      <c r="AQ66" s="521">
        <f t="shared" si="17"/>
        <v>0</v>
      </c>
      <c r="AR66" s="521">
        <f t="shared" si="17"/>
        <v>0</v>
      </c>
      <c r="AS66" s="521">
        <f t="shared" si="17"/>
        <v>0</v>
      </c>
      <c r="AT66" s="521">
        <f t="shared" si="17"/>
        <v>0</v>
      </c>
    </row>
    <row r="68" spans="2:46">
      <c r="B68" s="523" t="s">
        <v>823</v>
      </c>
      <c r="D68" s="524"/>
      <c r="G68" s="527"/>
      <c r="H68" s="527"/>
      <c r="I68" s="527"/>
      <c r="J68" s="527"/>
      <c r="K68" s="527"/>
      <c r="L68" s="527"/>
      <c r="M68" s="527"/>
      <c r="N68" s="527"/>
      <c r="O68" s="527"/>
      <c r="P68" s="527"/>
      <c r="Q68" s="527"/>
      <c r="R68" s="527"/>
      <c r="S68" s="527"/>
      <c r="T68" s="527"/>
      <c r="U68" s="527"/>
      <c r="V68" s="527"/>
      <c r="W68" s="527"/>
      <c r="X68" s="527"/>
      <c r="Y68" s="527"/>
      <c r="Z68" s="527"/>
      <c r="AA68" s="527"/>
      <c r="AB68" s="527"/>
      <c r="AC68" s="527"/>
      <c r="AD68" s="527"/>
      <c r="AE68" s="527"/>
      <c r="AF68" s="527"/>
      <c r="AG68" s="527"/>
      <c r="AH68" s="527"/>
    </row>
    <row r="69" spans="2:46">
      <c r="B69" s="525" t="str">
        <f>B92</f>
        <v>Prešov &lt;=&gt; Kapušany pri Prešove</v>
      </c>
      <c r="C69" s="535">
        <f>AVERAGE(12.4,12.4,12.8,11.6,11.7,11.6)</f>
        <v>12.083333333333334</v>
      </c>
      <c r="D69" s="524"/>
      <c r="G69" s="527">
        <f t="shared" ref="G69:AT72" si="18">G92*G79*G18</f>
        <v>0</v>
      </c>
      <c r="H69" s="527">
        <f t="shared" si="18"/>
        <v>0</v>
      </c>
      <c r="I69" s="527">
        <f t="shared" si="18"/>
        <v>0</v>
      </c>
      <c r="J69" s="527">
        <f t="shared" si="18"/>
        <v>0</v>
      </c>
      <c r="K69" s="527">
        <f t="shared" si="18"/>
        <v>0</v>
      </c>
      <c r="L69" s="527">
        <f t="shared" si="18"/>
        <v>0</v>
      </c>
      <c r="M69" s="527">
        <f t="shared" si="18"/>
        <v>0</v>
      </c>
      <c r="N69" s="527">
        <f t="shared" si="18"/>
        <v>0</v>
      </c>
      <c r="O69" s="527">
        <f t="shared" si="18"/>
        <v>0</v>
      </c>
      <c r="P69" s="527">
        <f t="shared" si="18"/>
        <v>0</v>
      </c>
      <c r="Q69" s="527">
        <f t="shared" si="18"/>
        <v>0</v>
      </c>
      <c r="R69" s="527">
        <f t="shared" si="18"/>
        <v>0</v>
      </c>
      <c r="S69" s="527">
        <f t="shared" si="18"/>
        <v>0</v>
      </c>
      <c r="T69" s="527">
        <f t="shared" si="18"/>
        <v>0</v>
      </c>
      <c r="U69" s="527">
        <f t="shared" si="18"/>
        <v>0</v>
      </c>
      <c r="V69" s="527">
        <f t="shared" si="18"/>
        <v>0</v>
      </c>
      <c r="W69" s="527">
        <f t="shared" si="18"/>
        <v>0</v>
      </c>
      <c r="X69" s="527">
        <f t="shared" si="18"/>
        <v>0</v>
      </c>
      <c r="Y69" s="527">
        <f t="shared" si="18"/>
        <v>0</v>
      </c>
      <c r="Z69" s="527">
        <f t="shared" si="18"/>
        <v>0</v>
      </c>
      <c r="AA69" s="527">
        <f t="shared" si="18"/>
        <v>0</v>
      </c>
      <c r="AB69" s="527">
        <f t="shared" si="18"/>
        <v>0</v>
      </c>
      <c r="AC69" s="527">
        <f t="shared" si="18"/>
        <v>0</v>
      </c>
      <c r="AD69" s="527">
        <f t="shared" si="18"/>
        <v>0</v>
      </c>
      <c r="AE69" s="527">
        <f t="shared" si="18"/>
        <v>0</v>
      </c>
      <c r="AF69" s="527">
        <f t="shared" si="18"/>
        <v>0</v>
      </c>
      <c r="AG69" s="527">
        <f t="shared" si="18"/>
        <v>0</v>
      </c>
      <c r="AH69" s="527">
        <f t="shared" si="18"/>
        <v>0</v>
      </c>
      <c r="AI69" s="527">
        <f t="shared" si="18"/>
        <v>0</v>
      </c>
      <c r="AJ69" s="527">
        <f t="shared" si="18"/>
        <v>0</v>
      </c>
      <c r="AK69" s="527">
        <f t="shared" si="18"/>
        <v>0</v>
      </c>
      <c r="AL69" s="527">
        <f t="shared" si="18"/>
        <v>0</v>
      </c>
      <c r="AM69" s="527">
        <f t="shared" si="18"/>
        <v>0</v>
      </c>
      <c r="AN69" s="527">
        <f t="shared" si="18"/>
        <v>0</v>
      </c>
      <c r="AO69" s="527">
        <f t="shared" si="18"/>
        <v>0</v>
      </c>
      <c r="AP69" s="527">
        <f t="shared" si="18"/>
        <v>0</v>
      </c>
      <c r="AQ69" s="527">
        <f t="shared" si="18"/>
        <v>0</v>
      </c>
      <c r="AR69" s="527">
        <f t="shared" si="18"/>
        <v>0</v>
      </c>
      <c r="AS69" s="527">
        <f t="shared" si="18"/>
        <v>0</v>
      </c>
      <c r="AT69" s="527">
        <f t="shared" si="18"/>
        <v>0</v>
      </c>
    </row>
    <row r="70" spans="2:46">
      <c r="B70" s="525" t="str">
        <f>B93</f>
        <v>Kapušany pri Prešove &lt;=&gt; Vranov nad Topľou</v>
      </c>
      <c r="C70" s="535">
        <f>AVERAGE(39.2,39.1,39.2,39.2)</f>
        <v>39.175000000000004</v>
      </c>
      <c r="D70" s="524"/>
      <c r="G70" s="527">
        <f t="shared" si="18"/>
        <v>0</v>
      </c>
      <c r="H70" s="527">
        <f t="shared" si="18"/>
        <v>0</v>
      </c>
      <c r="I70" s="527">
        <f t="shared" si="18"/>
        <v>0</v>
      </c>
      <c r="J70" s="527">
        <f t="shared" si="18"/>
        <v>0</v>
      </c>
      <c r="K70" s="527">
        <f t="shared" si="18"/>
        <v>0</v>
      </c>
      <c r="L70" s="527">
        <f t="shared" si="18"/>
        <v>0</v>
      </c>
      <c r="M70" s="527">
        <f t="shared" si="18"/>
        <v>0</v>
      </c>
      <c r="N70" s="527">
        <f t="shared" si="18"/>
        <v>0</v>
      </c>
      <c r="O70" s="527">
        <f t="shared" si="18"/>
        <v>0</v>
      </c>
      <c r="P70" s="527">
        <f t="shared" si="18"/>
        <v>0</v>
      </c>
      <c r="Q70" s="527">
        <f t="shared" si="18"/>
        <v>0</v>
      </c>
      <c r="R70" s="527">
        <f t="shared" si="18"/>
        <v>0</v>
      </c>
      <c r="S70" s="527">
        <f t="shared" si="18"/>
        <v>0</v>
      </c>
      <c r="T70" s="527">
        <f t="shared" si="18"/>
        <v>0</v>
      </c>
      <c r="U70" s="527">
        <f t="shared" si="18"/>
        <v>0</v>
      </c>
      <c r="V70" s="527">
        <f t="shared" si="18"/>
        <v>0</v>
      </c>
      <c r="W70" s="527">
        <f t="shared" si="18"/>
        <v>0</v>
      </c>
      <c r="X70" s="527">
        <f t="shared" si="18"/>
        <v>0</v>
      </c>
      <c r="Y70" s="527">
        <f t="shared" si="18"/>
        <v>0</v>
      </c>
      <c r="Z70" s="527">
        <f t="shared" si="18"/>
        <v>0</v>
      </c>
      <c r="AA70" s="527">
        <f t="shared" si="18"/>
        <v>0</v>
      </c>
      <c r="AB70" s="527">
        <f t="shared" si="18"/>
        <v>0</v>
      </c>
      <c r="AC70" s="527">
        <f t="shared" si="18"/>
        <v>0</v>
      </c>
      <c r="AD70" s="527">
        <f t="shared" si="18"/>
        <v>0</v>
      </c>
      <c r="AE70" s="527">
        <f t="shared" si="18"/>
        <v>0</v>
      </c>
      <c r="AF70" s="527">
        <f t="shared" si="18"/>
        <v>0</v>
      </c>
      <c r="AG70" s="527">
        <f t="shared" si="18"/>
        <v>0</v>
      </c>
      <c r="AH70" s="527">
        <f t="shared" si="18"/>
        <v>0</v>
      </c>
      <c r="AI70" s="527">
        <f t="shared" si="18"/>
        <v>0</v>
      </c>
      <c r="AJ70" s="527">
        <f t="shared" si="18"/>
        <v>0</v>
      </c>
      <c r="AK70" s="527">
        <f t="shared" si="18"/>
        <v>0</v>
      </c>
      <c r="AL70" s="527">
        <f t="shared" si="18"/>
        <v>0</v>
      </c>
      <c r="AM70" s="527">
        <f t="shared" si="18"/>
        <v>0</v>
      </c>
      <c r="AN70" s="527">
        <f t="shared" si="18"/>
        <v>0</v>
      </c>
      <c r="AO70" s="527">
        <f t="shared" si="18"/>
        <v>0</v>
      </c>
      <c r="AP70" s="527">
        <f t="shared" si="18"/>
        <v>0</v>
      </c>
      <c r="AQ70" s="527">
        <f t="shared" si="18"/>
        <v>0</v>
      </c>
      <c r="AR70" s="527">
        <f t="shared" si="18"/>
        <v>0</v>
      </c>
      <c r="AS70" s="527">
        <f t="shared" si="18"/>
        <v>0</v>
      </c>
      <c r="AT70" s="527">
        <f t="shared" si="18"/>
        <v>0</v>
      </c>
    </row>
    <row r="71" spans="2:46">
      <c r="B71" s="525" t="str">
        <f>B94</f>
        <v>Vranov nad Topľou &lt;=&gt; Strážske</v>
      </c>
      <c r="C71" s="535">
        <f>AVERAGE(15.2,14.6,15.2,14.6)</f>
        <v>14.9</v>
      </c>
      <c r="D71" s="524"/>
      <c r="G71" s="527">
        <f t="shared" si="18"/>
        <v>0</v>
      </c>
      <c r="H71" s="527">
        <f t="shared" si="18"/>
        <v>0</v>
      </c>
      <c r="I71" s="527">
        <f t="shared" si="18"/>
        <v>0</v>
      </c>
      <c r="J71" s="527">
        <f t="shared" si="18"/>
        <v>0</v>
      </c>
      <c r="K71" s="527">
        <f t="shared" si="18"/>
        <v>0</v>
      </c>
      <c r="L71" s="527">
        <f t="shared" si="18"/>
        <v>0</v>
      </c>
      <c r="M71" s="527">
        <f t="shared" si="18"/>
        <v>0</v>
      </c>
      <c r="N71" s="527">
        <f t="shared" si="18"/>
        <v>0</v>
      </c>
      <c r="O71" s="527">
        <f t="shared" si="18"/>
        <v>0</v>
      </c>
      <c r="P71" s="527">
        <f t="shared" si="18"/>
        <v>0</v>
      </c>
      <c r="Q71" s="527">
        <f t="shared" si="18"/>
        <v>0</v>
      </c>
      <c r="R71" s="527">
        <f t="shared" si="18"/>
        <v>0</v>
      </c>
      <c r="S71" s="527">
        <f t="shared" si="18"/>
        <v>0</v>
      </c>
      <c r="T71" s="527">
        <f t="shared" si="18"/>
        <v>0</v>
      </c>
      <c r="U71" s="527">
        <f t="shared" si="18"/>
        <v>0</v>
      </c>
      <c r="V71" s="527">
        <f t="shared" si="18"/>
        <v>0</v>
      </c>
      <c r="W71" s="527">
        <f t="shared" si="18"/>
        <v>0</v>
      </c>
      <c r="X71" s="527">
        <f t="shared" si="18"/>
        <v>0</v>
      </c>
      <c r="Y71" s="527">
        <f t="shared" si="18"/>
        <v>0</v>
      </c>
      <c r="Z71" s="527">
        <f t="shared" si="18"/>
        <v>0</v>
      </c>
      <c r="AA71" s="527">
        <f t="shared" si="18"/>
        <v>0</v>
      </c>
      <c r="AB71" s="527">
        <f t="shared" si="18"/>
        <v>0</v>
      </c>
      <c r="AC71" s="527">
        <f t="shared" si="18"/>
        <v>0</v>
      </c>
      <c r="AD71" s="527">
        <f t="shared" si="18"/>
        <v>0</v>
      </c>
      <c r="AE71" s="527">
        <f t="shared" si="18"/>
        <v>0</v>
      </c>
      <c r="AF71" s="527">
        <f t="shared" si="18"/>
        <v>0</v>
      </c>
      <c r="AG71" s="527">
        <f t="shared" si="18"/>
        <v>0</v>
      </c>
      <c r="AH71" s="527">
        <f t="shared" si="18"/>
        <v>0</v>
      </c>
      <c r="AI71" s="527">
        <f t="shared" si="18"/>
        <v>0</v>
      </c>
      <c r="AJ71" s="527">
        <f t="shared" si="18"/>
        <v>0</v>
      </c>
      <c r="AK71" s="527">
        <f t="shared" si="18"/>
        <v>0</v>
      </c>
      <c r="AL71" s="527">
        <f t="shared" si="18"/>
        <v>0</v>
      </c>
      <c r="AM71" s="527">
        <f t="shared" si="18"/>
        <v>0</v>
      </c>
      <c r="AN71" s="527">
        <f t="shared" si="18"/>
        <v>0</v>
      </c>
      <c r="AO71" s="527">
        <f t="shared" si="18"/>
        <v>0</v>
      </c>
      <c r="AP71" s="527">
        <f t="shared" si="18"/>
        <v>0</v>
      </c>
      <c r="AQ71" s="527">
        <f t="shared" si="18"/>
        <v>0</v>
      </c>
      <c r="AR71" s="527">
        <f t="shared" si="18"/>
        <v>0</v>
      </c>
      <c r="AS71" s="527">
        <f t="shared" si="18"/>
        <v>0</v>
      </c>
      <c r="AT71" s="527">
        <f t="shared" si="18"/>
        <v>0</v>
      </c>
    </row>
    <row r="72" spans="2:46">
      <c r="B72" s="525" t="str">
        <f>B95</f>
        <v>Kapušany pri Prešove &lt;=&gt; Raslavice</v>
      </c>
      <c r="C72" s="535">
        <f>AVERAGE(14.7,16.9,14.7,16.9)</f>
        <v>15.799999999999999</v>
      </c>
      <c r="D72" s="524"/>
      <c r="G72" s="527">
        <f t="shared" si="18"/>
        <v>0</v>
      </c>
      <c r="H72" s="527">
        <f t="shared" si="18"/>
        <v>0</v>
      </c>
      <c r="I72" s="527">
        <f t="shared" si="18"/>
        <v>0</v>
      </c>
      <c r="J72" s="527">
        <f t="shared" si="18"/>
        <v>0</v>
      </c>
      <c r="K72" s="527">
        <f t="shared" si="18"/>
        <v>0</v>
      </c>
      <c r="L72" s="527">
        <f t="shared" si="18"/>
        <v>0</v>
      </c>
      <c r="M72" s="527">
        <f t="shared" si="18"/>
        <v>0</v>
      </c>
      <c r="N72" s="527">
        <f t="shared" si="18"/>
        <v>0</v>
      </c>
      <c r="O72" s="527">
        <f t="shared" si="18"/>
        <v>0</v>
      </c>
      <c r="P72" s="527">
        <f t="shared" si="18"/>
        <v>0</v>
      </c>
      <c r="Q72" s="527">
        <f t="shared" si="18"/>
        <v>0</v>
      </c>
      <c r="R72" s="527">
        <f t="shared" si="18"/>
        <v>0</v>
      </c>
      <c r="S72" s="527">
        <f t="shared" si="18"/>
        <v>0</v>
      </c>
      <c r="T72" s="527">
        <f t="shared" si="18"/>
        <v>0</v>
      </c>
      <c r="U72" s="527">
        <f t="shared" si="18"/>
        <v>0</v>
      </c>
      <c r="V72" s="527">
        <f t="shared" si="18"/>
        <v>0</v>
      </c>
      <c r="W72" s="527">
        <f t="shared" si="18"/>
        <v>0</v>
      </c>
      <c r="X72" s="527">
        <f t="shared" si="18"/>
        <v>0</v>
      </c>
      <c r="Y72" s="527">
        <f t="shared" si="18"/>
        <v>0</v>
      </c>
      <c r="Z72" s="527">
        <f t="shared" si="18"/>
        <v>0</v>
      </c>
      <c r="AA72" s="527">
        <f t="shared" si="18"/>
        <v>0</v>
      </c>
      <c r="AB72" s="527">
        <f t="shared" si="18"/>
        <v>0</v>
      </c>
      <c r="AC72" s="527">
        <f t="shared" si="18"/>
        <v>0</v>
      </c>
      <c r="AD72" s="527">
        <f t="shared" si="18"/>
        <v>0</v>
      </c>
      <c r="AE72" s="527">
        <f t="shared" si="18"/>
        <v>0</v>
      </c>
      <c r="AF72" s="527">
        <f t="shared" si="18"/>
        <v>0</v>
      </c>
      <c r="AG72" s="527">
        <f t="shared" si="18"/>
        <v>0</v>
      </c>
      <c r="AH72" s="527">
        <f t="shared" si="18"/>
        <v>0</v>
      </c>
      <c r="AI72" s="527">
        <f t="shared" si="18"/>
        <v>0</v>
      </c>
      <c r="AJ72" s="527">
        <f t="shared" si="18"/>
        <v>0</v>
      </c>
      <c r="AK72" s="527">
        <f t="shared" si="18"/>
        <v>0</v>
      </c>
      <c r="AL72" s="527">
        <f t="shared" si="18"/>
        <v>0</v>
      </c>
      <c r="AM72" s="527">
        <f t="shared" si="18"/>
        <v>0</v>
      </c>
      <c r="AN72" s="527">
        <f t="shared" si="18"/>
        <v>0</v>
      </c>
      <c r="AO72" s="527">
        <f t="shared" si="18"/>
        <v>0</v>
      </c>
      <c r="AP72" s="527">
        <f t="shared" si="18"/>
        <v>0</v>
      </c>
      <c r="AQ72" s="527">
        <f t="shared" si="18"/>
        <v>0</v>
      </c>
      <c r="AR72" s="527">
        <f t="shared" si="18"/>
        <v>0</v>
      </c>
      <c r="AS72" s="527">
        <f t="shared" si="18"/>
        <v>0</v>
      </c>
      <c r="AT72" s="527">
        <f t="shared" si="18"/>
        <v>0</v>
      </c>
    </row>
    <row r="73" spans="2:46">
      <c r="B73" s="533"/>
      <c r="C73" s="536"/>
      <c r="D73" s="524"/>
      <c r="G73" s="527"/>
      <c r="H73" s="527"/>
      <c r="I73" s="527"/>
      <c r="J73" s="527"/>
      <c r="K73" s="527"/>
      <c r="L73" s="527"/>
      <c r="M73" s="527"/>
      <c r="N73" s="527"/>
      <c r="O73" s="527"/>
      <c r="P73" s="527"/>
      <c r="Q73" s="527"/>
      <c r="R73" s="527"/>
      <c r="S73" s="527"/>
      <c r="T73" s="527"/>
      <c r="U73" s="527"/>
      <c r="V73" s="527"/>
      <c r="W73" s="527"/>
      <c r="X73" s="527"/>
      <c r="Y73" s="527"/>
      <c r="Z73" s="527"/>
      <c r="AA73" s="527"/>
      <c r="AB73" s="527"/>
      <c r="AC73" s="527"/>
      <c r="AD73" s="527"/>
      <c r="AE73" s="527"/>
      <c r="AF73" s="527"/>
      <c r="AG73" s="527"/>
      <c r="AH73" s="527"/>
    </row>
    <row r="74" spans="2:46" ht="39" customHeight="1">
      <c r="C74" s="384"/>
      <c r="D74" s="384"/>
      <c r="E74" s="384"/>
    </row>
    <row r="75" spans="2:46" ht="15.75" customHeight="1">
      <c r="C75" s="518"/>
      <c r="D75" s="779"/>
      <c r="E75" s="779"/>
      <c r="F75" s="520"/>
    </row>
    <row r="76" spans="2:46" ht="15.75" customHeight="1">
      <c r="B76" s="791" t="s">
        <v>827</v>
      </c>
      <c r="C76" s="780"/>
      <c r="D76" s="780"/>
      <c r="E76" s="780"/>
    </row>
    <row r="77" spans="2:46" ht="15.75" customHeight="1"/>
    <row r="78" spans="2:46" ht="15.75" customHeight="1">
      <c r="D78" s="524"/>
    </row>
    <row r="79" spans="2:46" ht="15.75" customHeight="1">
      <c r="B79" s="1008" t="str">
        <f>B92</f>
        <v>Prešov &lt;=&gt; Kapušany pri Prešove</v>
      </c>
      <c r="C79" s="1009"/>
      <c r="D79" s="1009"/>
      <c r="E79" s="1010"/>
      <c r="G79" s="794">
        <v>0</v>
      </c>
      <c r="H79" s="794">
        <v>0</v>
      </c>
      <c r="I79" s="794">
        <v>0</v>
      </c>
      <c r="J79" s="794">
        <v>0.25</v>
      </c>
      <c r="K79" s="794">
        <v>1</v>
      </c>
      <c r="L79" s="794">
        <v>1</v>
      </c>
      <c r="M79" s="794">
        <v>1</v>
      </c>
      <c r="N79" s="794">
        <v>1</v>
      </c>
      <c r="O79" s="794">
        <v>1</v>
      </c>
      <c r="P79" s="794">
        <v>1</v>
      </c>
      <c r="Q79" s="794">
        <v>1</v>
      </c>
      <c r="R79" s="794">
        <v>1</v>
      </c>
      <c r="S79" s="794">
        <v>1</v>
      </c>
      <c r="T79" s="794">
        <v>1</v>
      </c>
      <c r="U79" s="794">
        <v>1</v>
      </c>
      <c r="V79" s="794">
        <v>1</v>
      </c>
      <c r="W79" s="794">
        <v>1</v>
      </c>
      <c r="X79" s="794">
        <v>1</v>
      </c>
      <c r="Y79" s="794">
        <v>1</v>
      </c>
      <c r="Z79" s="794">
        <v>1</v>
      </c>
      <c r="AA79" s="794">
        <v>1</v>
      </c>
      <c r="AB79" s="794">
        <v>1</v>
      </c>
      <c r="AC79" s="794">
        <v>1</v>
      </c>
      <c r="AD79" s="794">
        <v>1</v>
      </c>
      <c r="AE79" s="794">
        <v>1</v>
      </c>
      <c r="AF79" s="794">
        <v>1</v>
      </c>
      <c r="AG79" s="794">
        <v>1</v>
      </c>
      <c r="AH79" s="794">
        <v>1</v>
      </c>
      <c r="AI79" s="794">
        <v>1</v>
      </c>
      <c r="AJ79" s="794">
        <v>1</v>
      </c>
      <c r="AK79" s="794">
        <v>1</v>
      </c>
      <c r="AL79" s="794">
        <v>1</v>
      </c>
      <c r="AM79" s="794">
        <v>1</v>
      </c>
      <c r="AN79" s="794">
        <v>1</v>
      </c>
      <c r="AO79" s="794">
        <v>1</v>
      </c>
      <c r="AP79" s="794">
        <v>1</v>
      </c>
      <c r="AQ79" s="794">
        <v>1</v>
      </c>
      <c r="AR79" s="794">
        <v>1</v>
      </c>
      <c r="AS79" s="794">
        <v>1</v>
      </c>
      <c r="AT79" s="794">
        <v>1</v>
      </c>
    </row>
    <row r="80" spans="2:46" ht="15.75" customHeight="1">
      <c r="B80" s="1005" t="str">
        <f>B93</f>
        <v>Kapušany pri Prešove &lt;=&gt; Vranov nad Topľou</v>
      </c>
      <c r="C80" s="1006"/>
      <c r="D80" s="1006"/>
      <c r="E80" s="1007"/>
      <c r="G80" s="794">
        <v>0</v>
      </c>
      <c r="H80" s="794">
        <v>0</v>
      </c>
      <c r="I80" s="794">
        <v>0</v>
      </c>
      <c r="J80" s="794">
        <v>0.25</v>
      </c>
      <c r="K80" s="794">
        <v>1</v>
      </c>
      <c r="L80" s="794">
        <v>1</v>
      </c>
      <c r="M80" s="794">
        <v>1</v>
      </c>
      <c r="N80" s="794">
        <v>1</v>
      </c>
      <c r="O80" s="794">
        <v>1</v>
      </c>
      <c r="P80" s="794">
        <v>1</v>
      </c>
      <c r="Q80" s="794">
        <v>1</v>
      </c>
      <c r="R80" s="794">
        <v>1</v>
      </c>
      <c r="S80" s="794">
        <v>1</v>
      </c>
      <c r="T80" s="794">
        <v>1</v>
      </c>
      <c r="U80" s="794">
        <v>1</v>
      </c>
      <c r="V80" s="794">
        <v>1</v>
      </c>
      <c r="W80" s="794">
        <v>1</v>
      </c>
      <c r="X80" s="794">
        <v>1</v>
      </c>
      <c r="Y80" s="794">
        <v>1</v>
      </c>
      <c r="Z80" s="794">
        <v>1</v>
      </c>
      <c r="AA80" s="794">
        <v>1</v>
      </c>
      <c r="AB80" s="794">
        <v>1</v>
      </c>
      <c r="AC80" s="794">
        <v>1</v>
      </c>
      <c r="AD80" s="794">
        <v>1</v>
      </c>
      <c r="AE80" s="794">
        <v>1</v>
      </c>
      <c r="AF80" s="794">
        <v>1</v>
      </c>
      <c r="AG80" s="794">
        <v>1</v>
      </c>
      <c r="AH80" s="794">
        <v>1</v>
      </c>
      <c r="AI80" s="794">
        <v>1</v>
      </c>
      <c r="AJ80" s="794">
        <v>1</v>
      </c>
      <c r="AK80" s="794">
        <v>1</v>
      </c>
      <c r="AL80" s="794">
        <v>1</v>
      </c>
      <c r="AM80" s="794">
        <v>1</v>
      </c>
      <c r="AN80" s="794">
        <v>1</v>
      </c>
      <c r="AO80" s="794">
        <v>1</v>
      </c>
      <c r="AP80" s="794">
        <v>1</v>
      </c>
      <c r="AQ80" s="794">
        <v>1</v>
      </c>
      <c r="AR80" s="794">
        <v>1</v>
      </c>
      <c r="AS80" s="794">
        <v>1</v>
      </c>
      <c r="AT80" s="794">
        <v>1</v>
      </c>
    </row>
    <row r="81" spans="2:46" ht="15.75" customHeight="1">
      <c r="B81" s="1005" t="str">
        <f>B94</f>
        <v>Vranov nad Topľou &lt;=&gt; Strážske</v>
      </c>
      <c r="C81" s="1006"/>
      <c r="D81" s="1006"/>
      <c r="E81" s="1007"/>
      <c r="G81" s="794">
        <v>0</v>
      </c>
      <c r="H81" s="794">
        <v>0</v>
      </c>
      <c r="I81" s="794">
        <v>0</v>
      </c>
      <c r="J81" s="794">
        <v>0.25</v>
      </c>
      <c r="K81" s="794">
        <v>1</v>
      </c>
      <c r="L81" s="794">
        <v>1</v>
      </c>
      <c r="M81" s="794">
        <v>1</v>
      </c>
      <c r="N81" s="794">
        <v>1</v>
      </c>
      <c r="O81" s="794">
        <v>1</v>
      </c>
      <c r="P81" s="794">
        <v>1</v>
      </c>
      <c r="Q81" s="794">
        <v>1</v>
      </c>
      <c r="R81" s="794">
        <v>1</v>
      </c>
      <c r="S81" s="794">
        <v>1</v>
      </c>
      <c r="T81" s="794">
        <v>1</v>
      </c>
      <c r="U81" s="794">
        <v>1</v>
      </c>
      <c r="V81" s="794">
        <v>1</v>
      </c>
      <c r="W81" s="794">
        <v>1</v>
      </c>
      <c r="X81" s="794">
        <v>1</v>
      </c>
      <c r="Y81" s="794">
        <v>1</v>
      </c>
      <c r="Z81" s="794">
        <v>1</v>
      </c>
      <c r="AA81" s="794">
        <v>1</v>
      </c>
      <c r="AB81" s="794">
        <v>1</v>
      </c>
      <c r="AC81" s="794">
        <v>1</v>
      </c>
      <c r="AD81" s="794">
        <v>1</v>
      </c>
      <c r="AE81" s="794">
        <v>1</v>
      </c>
      <c r="AF81" s="794">
        <v>1</v>
      </c>
      <c r="AG81" s="794">
        <v>1</v>
      </c>
      <c r="AH81" s="794">
        <v>1</v>
      </c>
      <c r="AI81" s="794">
        <v>1</v>
      </c>
      <c r="AJ81" s="794">
        <v>1</v>
      </c>
      <c r="AK81" s="794">
        <v>1</v>
      </c>
      <c r="AL81" s="794">
        <v>1</v>
      </c>
      <c r="AM81" s="794">
        <v>1</v>
      </c>
      <c r="AN81" s="794">
        <v>1</v>
      </c>
      <c r="AO81" s="794">
        <v>1</v>
      </c>
      <c r="AP81" s="794">
        <v>1</v>
      </c>
      <c r="AQ81" s="794">
        <v>1</v>
      </c>
      <c r="AR81" s="794">
        <v>1</v>
      </c>
      <c r="AS81" s="794">
        <v>1</v>
      </c>
      <c r="AT81" s="794">
        <v>1</v>
      </c>
    </row>
    <row r="82" spans="2:46" ht="15.75" customHeight="1">
      <c r="B82" s="1005" t="str">
        <f>B95</f>
        <v>Kapušany pri Prešove &lt;=&gt; Raslavice</v>
      </c>
      <c r="C82" s="1006"/>
      <c r="D82" s="1006"/>
      <c r="E82" s="1007"/>
      <c r="G82" s="794">
        <v>0</v>
      </c>
      <c r="H82" s="794">
        <v>0</v>
      </c>
      <c r="I82" s="794">
        <v>0</v>
      </c>
      <c r="J82" s="794">
        <v>0</v>
      </c>
      <c r="K82" s="794">
        <v>0</v>
      </c>
      <c r="L82" s="794">
        <v>0</v>
      </c>
      <c r="M82" s="794">
        <v>0</v>
      </c>
      <c r="N82" s="794">
        <v>0</v>
      </c>
      <c r="O82" s="794">
        <v>0</v>
      </c>
      <c r="P82" s="794">
        <v>0</v>
      </c>
      <c r="Q82" s="794">
        <v>0</v>
      </c>
      <c r="R82" s="794">
        <v>0</v>
      </c>
      <c r="S82" s="794">
        <v>0</v>
      </c>
      <c r="T82" s="794">
        <v>0</v>
      </c>
      <c r="U82" s="794">
        <v>0</v>
      </c>
      <c r="V82" s="794">
        <v>0</v>
      </c>
      <c r="W82" s="794">
        <v>0</v>
      </c>
      <c r="X82" s="794">
        <v>0</v>
      </c>
      <c r="Y82" s="794">
        <v>0</v>
      </c>
      <c r="Z82" s="794">
        <v>0</v>
      </c>
      <c r="AA82" s="794">
        <v>0</v>
      </c>
      <c r="AB82" s="794">
        <v>0</v>
      </c>
      <c r="AC82" s="794">
        <v>0</v>
      </c>
      <c r="AD82" s="794">
        <v>0</v>
      </c>
      <c r="AE82" s="794">
        <v>0</v>
      </c>
      <c r="AF82" s="794">
        <v>0</v>
      </c>
      <c r="AG82" s="794">
        <v>0</v>
      </c>
      <c r="AH82" s="794">
        <v>0</v>
      </c>
      <c r="AI82" s="794">
        <v>0</v>
      </c>
      <c r="AJ82" s="794">
        <v>0</v>
      </c>
      <c r="AK82" s="794">
        <v>0</v>
      </c>
      <c r="AL82" s="794">
        <v>0</v>
      </c>
      <c r="AM82" s="794">
        <v>0</v>
      </c>
      <c r="AN82" s="794">
        <v>0</v>
      </c>
      <c r="AO82" s="794">
        <v>0</v>
      </c>
      <c r="AP82" s="794">
        <v>0</v>
      </c>
      <c r="AQ82" s="794">
        <v>0</v>
      </c>
      <c r="AR82" s="794">
        <v>0</v>
      </c>
      <c r="AS82" s="794">
        <v>0</v>
      </c>
      <c r="AT82" s="794">
        <v>0</v>
      </c>
    </row>
    <row r="83" spans="2:46" ht="15.75" customHeight="1">
      <c r="B83" s="537"/>
      <c r="C83" s="537"/>
      <c r="D83" s="537"/>
      <c r="E83" s="537"/>
      <c r="G83" s="538"/>
      <c r="H83" s="538"/>
      <c r="I83" s="538"/>
      <c r="J83" s="538"/>
      <c r="K83" s="538"/>
      <c r="L83" s="538"/>
      <c r="M83" s="538"/>
      <c r="N83" s="538"/>
      <c r="O83" s="538"/>
      <c r="P83" s="538"/>
      <c r="Q83" s="538"/>
      <c r="R83" s="538"/>
      <c r="S83" s="538"/>
      <c r="T83" s="538"/>
      <c r="U83" s="538"/>
      <c r="V83" s="538"/>
      <c r="W83" s="538"/>
      <c r="X83" s="538"/>
      <c r="Y83" s="538"/>
      <c r="Z83" s="538"/>
      <c r="AA83" s="538"/>
      <c r="AB83" s="538"/>
      <c r="AC83" s="538"/>
      <c r="AD83" s="538"/>
      <c r="AE83" s="538"/>
      <c r="AF83" s="538"/>
      <c r="AG83" s="538"/>
      <c r="AH83" s="538"/>
    </row>
    <row r="84" spans="2:46" ht="40.5" customHeight="1">
      <c r="C84" s="384"/>
      <c r="D84" s="384"/>
      <c r="E84" s="384"/>
    </row>
    <row r="85" spans="2:46" ht="15.75" customHeight="1">
      <c r="C85" s="384"/>
      <c r="D85" s="384"/>
      <c r="E85" s="384"/>
    </row>
    <row r="86" spans="2:46" ht="15.75" customHeight="1">
      <c r="C86" s="384"/>
      <c r="D86" s="384"/>
      <c r="E86" s="384"/>
    </row>
    <row r="87" spans="2:46">
      <c r="C87" s="779" t="s">
        <v>824</v>
      </c>
      <c r="D87" s="779" t="s">
        <v>825</v>
      </c>
      <c r="E87" s="518"/>
      <c r="F87" s="518"/>
    </row>
    <row r="88" spans="2:46">
      <c r="C88" s="518"/>
      <c r="D88" s="519" t="s">
        <v>822</v>
      </c>
      <c r="E88" s="519"/>
      <c r="F88" s="520"/>
      <c r="G88" s="539"/>
      <c r="H88" s="539"/>
      <c r="I88" s="539"/>
      <c r="J88" s="539"/>
      <c r="K88" s="539"/>
      <c r="L88" s="539"/>
      <c r="M88" s="539"/>
      <c r="N88" s="539"/>
      <c r="O88" s="539"/>
      <c r="P88" s="539"/>
      <c r="Q88" s="539"/>
      <c r="R88" s="539"/>
      <c r="S88" s="539"/>
      <c r="T88" s="539"/>
      <c r="U88" s="539"/>
      <c r="V88" s="539"/>
      <c r="W88" s="539"/>
      <c r="X88" s="539"/>
      <c r="Y88" s="539"/>
      <c r="Z88" s="539"/>
      <c r="AA88" s="539"/>
      <c r="AB88" s="539"/>
      <c r="AC88" s="539"/>
      <c r="AD88" s="539"/>
      <c r="AE88" s="539"/>
      <c r="AF88" s="539"/>
      <c r="AG88" s="539"/>
      <c r="AH88" s="539"/>
    </row>
    <row r="89" spans="2:46" ht="15.75">
      <c r="B89" s="791" t="s">
        <v>816</v>
      </c>
      <c r="C89" s="780">
        <f>SUM(C92:C95)</f>
        <v>75.132999999999996</v>
      </c>
      <c r="D89" s="531">
        <f>SUM(D92:D95)</f>
        <v>0.16249999999999998</v>
      </c>
      <c r="E89" s="531"/>
      <c r="G89" s="521">
        <f t="shared" ref="G89:AJ89" si="19">SUMPRODUCT(G92:G95,$C$92:$C$95)/SUM($C$92:$C$95)</f>
        <v>630477.78295226896</v>
      </c>
      <c r="H89" s="521">
        <f t="shared" si="19"/>
        <v>631252.97888351325</v>
      </c>
      <c r="I89" s="521">
        <f t="shared" si="19"/>
        <v>632423.77117169439</v>
      </c>
      <c r="J89" s="521">
        <f t="shared" si="19"/>
        <v>633476.67848012503</v>
      </c>
      <c r="K89" s="521">
        <f t="shared" si="19"/>
        <v>634367.20943313756</v>
      </c>
      <c r="L89" s="521">
        <f t="shared" si="19"/>
        <v>635145.16374291084</v>
      </c>
      <c r="M89" s="521">
        <f t="shared" si="19"/>
        <v>635801.24937305844</v>
      </c>
      <c r="N89" s="521">
        <f t="shared" si="19"/>
        <v>636540.62129382719</v>
      </c>
      <c r="O89" s="521">
        <f t="shared" si="19"/>
        <v>637199.38326978136</v>
      </c>
      <c r="P89" s="521">
        <f t="shared" si="19"/>
        <v>637754.92256924172</v>
      </c>
      <c r="Q89" s="521">
        <f t="shared" si="19"/>
        <v>638196.3317109003</v>
      </c>
      <c r="R89" s="521">
        <f t="shared" si="19"/>
        <v>638553.37934851146</v>
      </c>
      <c r="S89" s="521">
        <f t="shared" si="19"/>
        <v>638487.97726185538</v>
      </c>
      <c r="T89" s="521">
        <f t="shared" si="19"/>
        <v>637999.97541070252</v>
      </c>
      <c r="U89" s="521">
        <f t="shared" si="19"/>
        <v>637090.06280997361</v>
      </c>
      <c r="V89" s="521">
        <f t="shared" si="19"/>
        <v>635759.76617604354</v>
      </c>
      <c r="W89" s="521">
        <f t="shared" si="19"/>
        <v>634011.44579996762</v>
      </c>
      <c r="X89" s="521">
        <f t="shared" si="19"/>
        <v>631686.24494120036</v>
      </c>
      <c r="Y89" s="521">
        <f t="shared" si="19"/>
        <v>628790.01625116891</v>
      </c>
      <c r="Z89" s="521">
        <f t="shared" si="19"/>
        <v>625330.16799943033</v>
      </c>
      <c r="AA89" s="521">
        <f t="shared" si="19"/>
        <v>621315.63261020347</v>
      </c>
      <c r="AB89" s="521">
        <f t="shared" si="19"/>
        <v>616756.82829352084</v>
      </c>
      <c r="AC89" s="521">
        <f t="shared" si="19"/>
        <v>611418.56742738304</v>
      </c>
      <c r="AD89" s="521">
        <f t="shared" si="19"/>
        <v>605320.64065033325</v>
      </c>
      <c r="AE89" s="521">
        <f t="shared" si="19"/>
        <v>598485.69720049831</v>
      </c>
      <c r="AF89" s="521">
        <f t="shared" si="19"/>
        <v>590939.10453496315</v>
      </c>
      <c r="AG89" s="521">
        <f t="shared" si="19"/>
        <v>582708.79106543807</v>
      </c>
      <c r="AH89" s="521">
        <f t="shared" si="19"/>
        <v>573496.55740325269</v>
      </c>
      <c r="AI89" s="521">
        <f t="shared" si="19"/>
        <v>563350.74994798144</v>
      </c>
      <c r="AJ89" s="521">
        <f t="shared" si="19"/>
        <v>552324.31221936177</v>
      </c>
      <c r="AK89" s="521">
        <f t="shared" ref="AK89:AT89" si="20">SUMPRODUCT(AK92:AK95,$C$92:$C$95)/SUM($C$92:$C$95)</f>
        <v>540474.32231823867</v>
      </c>
      <c r="AL89" s="521">
        <f t="shared" si="20"/>
        <v>527861.49792634195</v>
      </c>
      <c r="AM89" s="521">
        <f t="shared" si="20"/>
        <v>514156.37069579202</v>
      </c>
      <c r="AN89" s="521">
        <f t="shared" si="20"/>
        <v>499456.4345847395</v>
      </c>
      <c r="AO89" s="521">
        <f t="shared" si="20"/>
        <v>483864.74825950665</v>
      </c>
      <c r="AP89" s="521">
        <f t="shared" si="20"/>
        <v>467488.72233999928</v>
      </c>
      <c r="AQ89" s="521">
        <f t="shared" si="20"/>
        <v>450438.87778400641</v>
      </c>
      <c r="AR89" s="521">
        <f t="shared" si="20"/>
        <v>432843.51229506754</v>
      </c>
      <c r="AS89" s="521">
        <f t="shared" si="20"/>
        <v>414813.72051048669</v>
      </c>
      <c r="AT89" s="521">
        <f t="shared" si="20"/>
        <v>396459.92295882199</v>
      </c>
    </row>
    <row r="91" spans="2:46">
      <c r="B91" s="523" t="s">
        <v>823</v>
      </c>
      <c r="D91" s="524"/>
    </row>
    <row r="92" spans="2:46">
      <c r="B92" s="525" t="s">
        <v>828</v>
      </c>
      <c r="C92" s="526">
        <v>9.7539999999999996</v>
      </c>
      <c r="D92" s="795">
        <v>2.9166666666666674E-2</v>
      </c>
      <c r="E92" s="540"/>
      <c r="G92" s="522">
        <v>1170007.5236352854</v>
      </c>
      <c r="H92" s="522">
        <f t="shared" ref="H92:AT95" si="21">G92*H13</f>
        <v>1172031.4949070427</v>
      </c>
      <c r="I92" s="522">
        <f t="shared" si="21"/>
        <v>1174957.4781671697</v>
      </c>
      <c r="J92" s="522">
        <f t="shared" si="21"/>
        <v>1177665.4247054162</v>
      </c>
      <c r="K92" s="522">
        <f t="shared" si="21"/>
        <v>1180035.705538406</v>
      </c>
      <c r="L92" s="522">
        <f t="shared" si="21"/>
        <v>1182220.6012783109</v>
      </c>
      <c r="M92" s="522">
        <f t="shared" si="21"/>
        <v>1184187.0074442266</v>
      </c>
      <c r="N92" s="522">
        <f t="shared" si="21"/>
        <v>1186434.2645557548</v>
      </c>
      <c r="O92" s="522">
        <f t="shared" si="21"/>
        <v>1188620.2511073137</v>
      </c>
      <c r="P92" s="522">
        <f t="shared" si="21"/>
        <v>1190587.6390037155</v>
      </c>
      <c r="Q92" s="522">
        <f t="shared" si="21"/>
        <v>1192376.1734549908</v>
      </c>
      <c r="R92" s="522">
        <f t="shared" si="21"/>
        <v>1194012.3512678242</v>
      </c>
      <c r="S92" s="522">
        <f t="shared" si="21"/>
        <v>1194859.4599814902</v>
      </c>
      <c r="T92" s="522">
        <f t="shared" si="21"/>
        <v>1194915.2940180062</v>
      </c>
      <c r="U92" s="522">
        <f t="shared" si="21"/>
        <v>1194179.2179901323</v>
      </c>
      <c r="V92" s="522">
        <f t="shared" si="21"/>
        <v>1192652.1705403596</v>
      </c>
      <c r="W92" s="522">
        <f t="shared" si="21"/>
        <v>1190336.6629693422</v>
      </c>
      <c r="X92" s="522">
        <f t="shared" si="21"/>
        <v>1186932.2940800616</v>
      </c>
      <c r="Y92" s="522">
        <f t="shared" si="21"/>
        <v>1182447.4318845852</v>
      </c>
      <c r="Z92" s="522">
        <f t="shared" si="21"/>
        <v>1176893.405536751</v>
      </c>
      <c r="AA92" s="522">
        <f t="shared" si="21"/>
        <v>1170284.4579586245</v>
      </c>
      <c r="AB92" s="522">
        <f t="shared" si="21"/>
        <v>1162637.6851770508</v>
      </c>
      <c r="AC92" s="522">
        <f t="shared" si="21"/>
        <v>1153506.8828001858</v>
      </c>
      <c r="AD92" s="522">
        <f t="shared" si="21"/>
        <v>1142925.8421709589</v>
      </c>
      <c r="AE92" s="522">
        <f t="shared" si="21"/>
        <v>1130933.8742074727</v>
      </c>
      <c r="AF92" s="522">
        <f t="shared" si="21"/>
        <v>1117575.5658687691</v>
      </c>
      <c r="AG92" s="522">
        <f t="shared" si="21"/>
        <v>1102900.5034055994</v>
      </c>
      <c r="AH92" s="522">
        <f t="shared" si="21"/>
        <v>1086340.6763852309</v>
      </c>
      <c r="AI92" s="522">
        <f t="shared" si="21"/>
        <v>1067983.2193847813</v>
      </c>
      <c r="AJ92" s="522">
        <f t="shared" si="21"/>
        <v>1047924.2810550081</v>
      </c>
      <c r="AK92" s="522">
        <f t="shared" si="21"/>
        <v>1026268.1813181203</v>
      </c>
      <c r="AL92" s="522">
        <f t="shared" si="21"/>
        <v>1003126.5026739821</v>
      </c>
      <c r="AM92" s="522">
        <f t="shared" si="21"/>
        <v>977869.1052559613</v>
      </c>
      <c r="AN92" s="522">
        <f t="shared" si="21"/>
        <v>950676.51710521278</v>
      </c>
      <c r="AO92" s="522">
        <f t="shared" si="21"/>
        <v>921740.4602264323</v>
      </c>
      <c r="AP92" s="522">
        <f t="shared" si="21"/>
        <v>891261.58177117573</v>
      </c>
      <c r="AQ92" s="522">
        <f t="shared" si="21"/>
        <v>859447.11904582591</v>
      </c>
      <c r="AR92" s="522">
        <f t="shared" si="21"/>
        <v>826538.93039177207</v>
      </c>
      <c r="AS92" s="522">
        <f t="shared" si="21"/>
        <v>792746.78272866388</v>
      </c>
      <c r="AT92" s="522">
        <f t="shared" si="21"/>
        <v>758279.83401138661</v>
      </c>
    </row>
    <row r="93" spans="2:46" ht="15" customHeight="1">
      <c r="B93" s="525" t="s">
        <v>829</v>
      </c>
      <c r="C93" s="526">
        <v>36.073</v>
      </c>
      <c r="D93" s="795">
        <v>0.12916666666666665</v>
      </c>
      <c r="E93" s="540"/>
      <c r="G93" s="522">
        <v>648739.69508776965</v>
      </c>
      <c r="H93" s="522">
        <f t="shared" si="21"/>
        <v>649581.09479792567</v>
      </c>
      <c r="I93" s="522">
        <f t="shared" si="21"/>
        <v>650802.70969076396</v>
      </c>
      <c r="J93" s="522">
        <f t="shared" si="21"/>
        <v>651884.78311540908</v>
      </c>
      <c r="K93" s="522">
        <f t="shared" si="21"/>
        <v>652790.05147974205</v>
      </c>
      <c r="L93" s="522">
        <f t="shared" si="21"/>
        <v>653584.40839107416</v>
      </c>
      <c r="M93" s="522">
        <f t="shared" si="21"/>
        <v>654250.76612862013</v>
      </c>
      <c r="N93" s="522">
        <f t="shared" si="21"/>
        <v>654988.91236576298</v>
      </c>
      <c r="O93" s="522">
        <f t="shared" si="21"/>
        <v>655639.91498112737</v>
      </c>
      <c r="P93" s="522">
        <f t="shared" si="21"/>
        <v>656178.548101141</v>
      </c>
      <c r="Q93" s="522">
        <f t="shared" si="21"/>
        <v>656587.97430396441</v>
      </c>
      <c r="R93" s="522">
        <f t="shared" si="21"/>
        <v>656923.13287820236</v>
      </c>
      <c r="S93" s="522">
        <f t="shared" si="21"/>
        <v>656823.47097640624</v>
      </c>
      <c r="T93" s="522">
        <f t="shared" si="21"/>
        <v>656288.89862757898</v>
      </c>
      <c r="U93" s="522">
        <f t="shared" si="21"/>
        <v>655320.18976233143</v>
      </c>
      <c r="V93" s="522">
        <f t="shared" si="21"/>
        <v>653918.98060398584</v>
      </c>
      <c r="W93" s="522">
        <f t="shared" si="21"/>
        <v>652087.76520395733</v>
      </c>
      <c r="X93" s="522">
        <f t="shared" si="21"/>
        <v>649663.23285801592</v>
      </c>
      <c r="Y93" s="522">
        <f t="shared" si="21"/>
        <v>646651.49523918494</v>
      </c>
      <c r="Z93" s="522">
        <f t="shared" si="21"/>
        <v>643060.26360544201</v>
      </c>
      <c r="AA93" s="522">
        <f t="shared" si="21"/>
        <v>638898.81601266423</v>
      </c>
      <c r="AB93" s="522">
        <f t="shared" si="21"/>
        <v>634177.9574298464</v>
      </c>
      <c r="AC93" s="522">
        <f t="shared" si="21"/>
        <v>628655.9615713798</v>
      </c>
      <c r="AD93" s="522">
        <f t="shared" si="21"/>
        <v>622353.30708576785</v>
      </c>
      <c r="AE93" s="522">
        <f t="shared" si="21"/>
        <v>615293.40866826207</v>
      </c>
      <c r="AF93" s="522">
        <f t="shared" si="21"/>
        <v>607502.47189836681</v>
      </c>
      <c r="AG93" s="522">
        <f t="shared" si="21"/>
        <v>599009.33075421478</v>
      </c>
      <c r="AH93" s="522">
        <f t="shared" si="21"/>
        <v>589507.58164913906</v>
      </c>
      <c r="AI93" s="522">
        <f t="shared" si="21"/>
        <v>579047.09025251202</v>
      </c>
      <c r="AJ93" s="522">
        <f t="shared" si="21"/>
        <v>567682.4381980655</v>
      </c>
      <c r="AK93" s="522">
        <f t="shared" si="21"/>
        <v>555472.44625849673</v>
      </c>
      <c r="AL93" s="522">
        <f t="shared" si="21"/>
        <v>542479.66429563996</v>
      </c>
      <c r="AM93" s="522">
        <f t="shared" si="21"/>
        <v>528365.66061619506</v>
      </c>
      <c r="AN93" s="522">
        <f t="shared" si="21"/>
        <v>513230.81798115559</v>
      </c>
      <c r="AO93" s="522">
        <f t="shared" si="21"/>
        <v>497181.21657948336</v>
      </c>
      <c r="AP93" s="522">
        <f t="shared" si="21"/>
        <v>480327.38604407333</v>
      </c>
      <c r="AQ93" s="522">
        <f t="shared" si="21"/>
        <v>462783.028213799</v>
      </c>
      <c r="AR93" s="522">
        <f t="shared" si="21"/>
        <v>444680.08335748204</v>
      </c>
      <c r="AS93" s="522">
        <f t="shared" si="21"/>
        <v>426132.79027291539</v>
      </c>
      <c r="AT93" s="522">
        <f t="shared" si="21"/>
        <v>407254.66998442978</v>
      </c>
    </row>
    <row r="94" spans="2:46" ht="15" customHeight="1">
      <c r="B94" s="525" t="s">
        <v>830</v>
      </c>
      <c r="C94" s="526">
        <v>14.72</v>
      </c>
      <c r="D94" s="795">
        <v>-1.2500000000000011E-2</v>
      </c>
      <c r="E94" s="540"/>
      <c r="G94" s="522">
        <v>370658.62070589099</v>
      </c>
      <c r="H94" s="522">
        <f t="shared" si="21"/>
        <v>370936.33688782586</v>
      </c>
      <c r="I94" s="522">
        <f t="shared" si="21"/>
        <v>371423.30899771891</v>
      </c>
      <c r="J94" s="522">
        <f t="shared" si="21"/>
        <v>371853.16351243638</v>
      </c>
      <c r="K94" s="522">
        <f t="shared" si="21"/>
        <v>372230.71520573401</v>
      </c>
      <c r="L94" s="522">
        <f t="shared" si="21"/>
        <v>372531.89588667749</v>
      </c>
      <c r="M94" s="522">
        <f t="shared" si="21"/>
        <v>372779.9700406401</v>
      </c>
      <c r="N94" s="522">
        <f t="shared" si="21"/>
        <v>373096.76582368219</v>
      </c>
      <c r="O94" s="522">
        <f t="shared" si="21"/>
        <v>373337.84290280117</v>
      </c>
      <c r="P94" s="522">
        <f t="shared" si="21"/>
        <v>373546.17376239126</v>
      </c>
      <c r="Q94" s="522">
        <f t="shared" si="21"/>
        <v>373697.72472052864</v>
      </c>
      <c r="R94" s="522">
        <f t="shared" si="21"/>
        <v>373821.22311676404</v>
      </c>
      <c r="S94" s="522">
        <f t="shared" si="21"/>
        <v>373697.27549344674</v>
      </c>
      <c r="T94" s="522">
        <f t="shared" si="21"/>
        <v>373325.96419347735</v>
      </c>
      <c r="U94" s="522">
        <f t="shared" si="21"/>
        <v>372707.86288534186</v>
      </c>
      <c r="V94" s="522">
        <f t="shared" si="21"/>
        <v>371844.03520630382</v>
      </c>
      <c r="W94" s="522">
        <f t="shared" si="21"/>
        <v>370736.03178323864</v>
      </c>
      <c r="X94" s="522">
        <f t="shared" si="21"/>
        <v>369291.15299128724</v>
      </c>
      <c r="Y94" s="522">
        <f t="shared" si="21"/>
        <v>367513.05419608473</v>
      </c>
      <c r="Z94" s="522">
        <f t="shared" si="21"/>
        <v>365406.29713106086</v>
      </c>
      <c r="AA94" s="522">
        <f t="shared" si="21"/>
        <v>362976.33045381506</v>
      </c>
      <c r="AB94" s="522">
        <f t="shared" si="21"/>
        <v>360229.46629134554</v>
      </c>
      <c r="AC94" s="522">
        <f t="shared" si="21"/>
        <v>357028.59381751443</v>
      </c>
      <c r="AD94" s="522">
        <f t="shared" si="21"/>
        <v>353385.58652348095</v>
      </c>
      <c r="AE94" s="522">
        <f t="shared" si="21"/>
        <v>349313.97629565926</v>
      </c>
      <c r="AF94" s="522">
        <f t="shared" si="21"/>
        <v>344828.86952355632</v>
      </c>
      <c r="AG94" s="522">
        <f t="shared" si="21"/>
        <v>339946.85346621083</v>
      </c>
      <c r="AH94" s="522">
        <f t="shared" si="21"/>
        <v>334494.28536405537</v>
      </c>
      <c r="AI94" s="522">
        <f t="shared" si="21"/>
        <v>328499.76293363573</v>
      </c>
      <c r="AJ94" s="522">
        <f t="shared" si="21"/>
        <v>321994.53836204036</v>
      </c>
      <c r="AK94" s="522">
        <f t="shared" si="21"/>
        <v>315012.24549920287</v>
      </c>
      <c r="AL94" s="522">
        <f t="shared" si="21"/>
        <v>307588.60850494308</v>
      </c>
      <c r="AM94" s="522">
        <f t="shared" si="21"/>
        <v>299532.00833309151</v>
      </c>
      <c r="AN94" s="522">
        <f t="shared" si="21"/>
        <v>290899.6843251402</v>
      </c>
      <c r="AO94" s="522">
        <f t="shared" si="21"/>
        <v>281752.06348566397</v>
      </c>
      <c r="AP94" s="522">
        <f t="shared" si="21"/>
        <v>272152.05049275258</v>
      </c>
      <c r="AQ94" s="522">
        <f t="shared" si="21"/>
        <v>262164.30190099304</v>
      </c>
      <c r="AR94" s="522">
        <f t="shared" si="21"/>
        <v>251863.75795166567</v>
      </c>
      <c r="AS94" s="522">
        <f t="shared" si="21"/>
        <v>241315.28085004695</v>
      </c>
      <c r="AT94" s="522">
        <f t="shared" si="21"/>
        <v>230583.27979533121</v>
      </c>
    </row>
    <row r="95" spans="2:46">
      <c r="B95" s="525" t="s">
        <v>831</v>
      </c>
      <c r="C95" s="526">
        <v>14.586</v>
      </c>
      <c r="D95" s="795">
        <v>1.6666666666666663E-2</v>
      </c>
      <c r="E95" s="540"/>
      <c r="G95" s="522">
        <v>486723.70515030937</v>
      </c>
      <c r="H95" s="522">
        <f t="shared" si="21"/>
        <v>487002.13557502674</v>
      </c>
      <c r="I95" s="522">
        <f t="shared" si="21"/>
        <v>487563.60224043566</v>
      </c>
      <c r="J95" s="522">
        <f t="shared" si="21"/>
        <v>488066.39129613253</v>
      </c>
      <c r="K95" s="522">
        <f t="shared" si="21"/>
        <v>488448.62331421685</v>
      </c>
      <c r="L95" s="522">
        <f t="shared" si="21"/>
        <v>488726.31093407125</v>
      </c>
      <c r="M95" s="522">
        <f t="shared" si="21"/>
        <v>488892.51014528162</v>
      </c>
      <c r="N95" s="522">
        <f t="shared" si="21"/>
        <v>489053.01347165246</v>
      </c>
      <c r="O95" s="522">
        <f t="shared" si="21"/>
        <v>489131.19657646387</v>
      </c>
      <c r="P95" s="522">
        <f t="shared" si="21"/>
        <v>489134.80893443944</v>
      </c>
      <c r="Q95" s="522">
        <f t="shared" si="21"/>
        <v>489046.9826958729</v>
      </c>
      <c r="R95" s="522">
        <f t="shared" si="21"/>
        <v>488838.47523181047</v>
      </c>
      <c r="S95" s="522">
        <f t="shared" si="21"/>
        <v>488306.66798026062</v>
      </c>
      <c r="T95" s="522">
        <f t="shared" si="21"/>
        <v>487452.40241053287</v>
      </c>
      <c r="U95" s="522">
        <f t="shared" si="21"/>
        <v>486277.159595309</v>
      </c>
      <c r="V95" s="522">
        <f t="shared" si="21"/>
        <v>484783.05601875979</v>
      </c>
      <c r="W95" s="522">
        <f t="shared" si="21"/>
        <v>482972.8372846822</v>
      </c>
      <c r="X95" s="522">
        <f t="shared" si="21"/>
        <v>480726.55106206791</v>
      </c>
      <c r="Y95" s="522">
        <f t="shared" si="21"/>
        <v>478049.94480099686</v>
      </c>
      <c r="Z95" s="522">
        <f t="shared" si="21"/>
        <v>474949.92814256076</v>
      </c>
      <c r="AA95" s="522">
        <f t="shared" si="21"/>
        <v>471434.54323796753</v>
      </c>
      <c r="AB95" s="522">
        <f t="shared" si="21"/>
        <v>467512.92998661025</v>
      </c>
      <c r="AC95" s="522">
        <f t="shared" si="21"/>
        <v>463008.20574046113</v>
      </c>
      <c r="AD95" s="522">
        <f t="shared" si="21"/>
        <v>457937.08688574075</v>
      </c>
      <c r="AE95" s="522">
        <f t="shared" si="21"/>
        <v>452318.38864548388</v>
      </c>
      <c r="AF95" s="522">
        <f t="shared" si="21"/>
        <v>446172.9084988946</v>
      </c>
      <c r="AG95" s="522">
        <f t="shared" si="21"/>
        <v>439523.29751692904</v>
      </c>
      <c r="AH95" s="522">
        <f t="shared" si="21"/>
        <v>432146.37436780188</v>
      </c>
      <c r="AI95" s="522">
        <f t="shared" si="21"/>
        <v>424080.71965587174</v>
      </c>
      <c r="AJ95" s="522">
        <f t="shared" si="21"/>
        <v>415368.22396535776</v>
      </c>
      <c r="AK95" s="522">
        <f t="shared" si="21"/>
        <v>406053.7234696463</v>
      </c>
      <c r="AL95" s="522">
        <f t="shared" si="21"/>
        <v>396184.61327906494</v>
      </c>
      <c r="AM95" s="522">
        <f t="shared" si="21"/>
        <v>385515.54290067061</v>
      </c>
      <c r="AN95" s="522">
        <f t="shared" si="21"/>
        <v>374121.95951670728</v>
      </c>
      <c r="AO95" s="522">
        <f t="shared" si="21"/>
        <v>362083.1812527228</v>
      </c>
      <c r="AP95" s="522">
        <f t="shared" si="21"/>
        <v>349481.47037940141</v>
      </c>
      <c r="AQ95" s="522">
        <f t="shared" si="21"/>
        <v>336401.09040407074</v>
      </c>
      <c r="AR95" s="522">
        <f t="shared" si="21"/>
        <v>322939.23750315333</v>
      </c>
      <c r="AS95" s="522">
        <f t="shared" si="21"/>
        <v>309179.90310924459</v>
      </c>
      <c r="AT95" s="522">
        <f t="shared" si="21"/>
        <v>295206.24583727529</v>
      </c>
    </row>
    <row r="104" ht="15" customHeight="1"/>
  </sheetData>
  <mergeCells count="24">
    <mergeCell ref="B82:E82"/>
    <mergeCell ref="D32:E32"/>
    <mergeCell ref="D33:E33"/>
    <mergeCell ref="D34:E34"/>
    <mergeCell ref="B79:E79"/>
    <mergeCell ref="B80:E80"/>
    <mergeCell ref="B81:E81"/>
    <mergeCell ref="D31:E31"/>
    <mergeCell ref="C7:D7"/>
    <mergeCell ref="E7:F7"/>
    <mergeCell ref="C9:D9"/>
    <mergeCell ref="E9:F9"/>
    <mergeCell ref="C11:D11"/>
    <mergeCell ref="E11:F11"/>
    <mergeCell ref="B13:C21"/>
    <mergeCell ref="E13:F16"/>
    <mergeCell ref="E18:F21"/>
    <mergeCell ref="D26:E26"/>
    <mergeCell ref="D28:E28"/>
    <mergeCell ref="B1:F1"/>
    <mergeCell ref="C4:D4"/>
    <mergeCell ref="E4:F4"/>
    <mergeCell ref="C5:D5"/>
    <mergeCell ref="E5:F5"/>
  </mergeCells>
  <conditionalFormatting sqref="G79:AT82">
    <cfRule type="cellIs" dxfId="2" priority="1" operator="between">
      <formula>0.01</formula>
      <formula>0.99</formula>
    </cfRule>
    <cfRule type="cellIs" dxfId="1" priority="2" operator="equal">
      <formula>1</formula>
    </cfRule>
  </conditionalFormatting>
  <pageMargins left="0.7" right="0.7" top="0.75" bottom="0.75" header="0.3" footer="0.3"/>
  <pageSetup orientation="portrait"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AQ24"/>
  <sheetViews>
    <sheetView zoomScale="80" zoomScaleNormal="80" workbookViewId="0">
      <selection activeCell="P37" sqref="P37"/>
    </sheetView>
  </sheetViews>
  <sheetFormatPr defaultColWidth="9.140625" defaultRowHeight="11.25"/>
  <cols>
    <col min="1" max="1" width="2.7109375" style="2" customWidth="1"/>
    <col min="2" max="2" width="44.7109375" style="2" customWidth="1"/>
    <col min="3" max="3" width="10.7109375" style="2" customWidth="1"/>
    <col min="4" max="43" width="8.7109375" style="2" customWidth="1"/>
    <col min="44" max="16384" width="9.140625" style="2"/>
  </cols>
  <sheetData>
    <row r="2" spans="2:43" ht="12">
      <c r="B2" s="491" t="s">
        <v>807</v>
      </c>
    </row>
    <row r="4" spans="2:43">
      <c r="B4" s="3"/>
      <c r="C4" s="3"/>
      <c r="D4" s="3" t="s">
        <v>9</v>
      </c>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row>
    <row r="5" spans="2:43">
      <c r="B5" s="4"/>
      <c r="C5" s="4"/>
      <c r="D5" s="3">
        <v>1</v>
      </c>
      <c r="E5" s="3">
        <v>2</v>
      </c>
      <c r="F5" s="3">
        <v>3</v>
      </c>
      <c r="G5" s="3">
        <v>4</v>
      </c>
      <c r="H5" s="3">
        <v>5</v>
      </c>
      <c r="I5" s="3">
        <v>6</v>
      </c>
      <c r="J5" s="3">
        <v>7</v>
      </c>
      <c r="K5" s="3">
        <v>8</v>
      </c>
      <c r="L5" s="3">
        <v>9</v>
      </c>
      <c r="M5" s="3">
        <v>10</v>
      </c>
      <c r="N5" s="3">
        <v>11</v>
      </c>
      <c r="O5" s="3">
        <v>12</v>
      </c>
      <c r="P5" s="3">
        <v>13</v>
      </c>
      <c r="Q5" s="3">
        <v>14</v>
      </c>
      <c r="R5" s="3">
        <v>15</v>
      </c>
      <c r="S5" s="3">
        <v>16</v>
      </c>
      <c r="T5" s="3">
        <v>17</v>
      </c>
      <c r="U5" s="3">
        <v>18</v>
      </c>
      <c r="V5" s="3">
        <v>19</v>
      </c>
      <c r="W5" s="3">
        <v>20</v>
      </c>
      <c r="X5" s="3">
        <v>21</v>
      </c>
      <c r="Y5" s="3">
        <v>22</v>
      </c>
      <c r="Z5" s="3">
        <v>23</v>
      </c>
      <c r="AA5" s="3">
        <v>24</v>
      </c>
      <c r="AB5" s="3">
        <v>25</v>
      </c>
      <c r="AC5" s="3">
        <v>26</v>
      </c>
      <c r="AD5" s="3">
        <v>27</v>
      </c>
      <c r="AE5" s="3">
        <v>28</v>
      </c>
      <c r="AF5" s="3">
        <v>29</v>
      </c>
      <c r="AG5" s="3">
        <v>30</v>
      </c>
      <c r="AH5" s="3">
        <v>31</v>
      </c>
      <c r="AI5" s="3">
        <v>32</v>
      </c>
      <c r="AJ5" s="3">
        <v>33</v>
      </c>
      <c r="AK5" s="3">
        <v>34</v>
      </c>
      <c r="AL5" s="3">
        <v>35</v>
      </c>
      <c r="AM5" s="3">
        <v>36</v>
      </c>
      <c r="AN5" s="3">
        <v>37</v>
      </c>
      <c r="AO5" s="3">
        <v>38</v>
      </c>
      <c r="AP5" s="3">
        <v>39</v>
      </c>
      <c r="AQ5" s="3">
        <v>40</v>
      </c>
    </row>
    <row r="6" spans="2:43">
      <c r="B6" s="6" t="s">
        <v>479</v>
      </c>
      <c r="C6" s="6" t="s">
        <v>8</v>
      </c>
      <c r="D6" s="20">
        <f>Parametre!C13</f>
        <v>2024</v>
      </c>
      <c r="E6" s="20">
        <f>$D$6+D5</f>
        <v>2025</v>
      </c>
      <c r="F6" s="20">
        <f>$D$6+E5</f>
        <v>2026</v>
      </c>
      <c r="G6" s="20">
        <f t="shared" ref="G6:AF6" si="0">$D$6+F5</f>
        <v>2027</v>
      </c>
      <c r="H6" s="20">
        <f t="shared" si="0"/>
        <v>2028</v>
      </c>
      <c r="I6" s="20">
        <f t="shared" si="0"/>
        <v>2029</v>
      </c>
      <c r="J6" s="20">
        <f t="shared" si="0"/>
        <v>2030</v>
      </c>
      <c r="K6" s="20">
        <f t="shared" si="0"/>
        <v>2031</v>
      </c>
      <c r="L6" s="20">
        <f t="shared" si="0"/>
        <v>2032</v>
      </c>
      <c r="M6" s="20">
        <f t="shared" si="0"/>
        <v>2033</v>
      </c>
      <c r="N6" s="20">
        <f t="shared" si="0"/>
        <v>2034</v>
      </c>
      <c r="O6" s="20">
        <f t="shared" si="0"/>
        <v>2035</v>
      </c>
      <c r="P6" s="20">
        <f t="shared" si="0"/>
        <v>2036</v>
      </c>
      <c r="Q6" s="20">
        <f t="shared" si="0"/>
        <v>2037</v>
      </c>
      <c r="R6" s="20">
        <f t="shared" si="0"/>
        <v>2038</v>
      </c>
      <c r="S6" s="20">
        <f t="shared" si="0"/>
        <v>2039</v>
      </c>
      <c r="T6" s="20">
        <f t="shared" si="0"/>
        <v>2040</v>
      </c>
      <c r="U6" s="20">
        <f t="shared" si="0"/>
        <v>2041</v>
      </c>
      <c r="V6" s="20">
        <f t="shared" si="0"/>
        <v>2042</v>
      </c>
      <c r="W6" s="20">
        <f t="shared" si="0"/>
        <v>2043</v>
      </c>
      <c r="X6" s="20">
        <f t="shared" si="0"/>
        <v>2044</v>
      </c>
      <c r="Y6" s="20">
        <f t="shared" si="0"/>
        <v>2045</v>
      </c>
      <c r="Z6" s="20">
        <f t="shared" si="0"/>
        <v>2046</v>
      </c>
      <c r="AA6" s="20">
        <f t="shared" si="0"/>
        <v>2047</v>
      </c>
      <c r="AB6" s="20">
        <f t="shared" si="0"/>
        <v>2048</v>
      </c>
      <c r="AC6" s="20">
        <f t="shared" si="0"/>
        <v>2049</v>
      </c>
      <c r="AD6" s="20">
        <f t="shared" si="0"/>
        <v>2050</v>
      </c>
      <c r="AE6" s="20">
        <f t="shared" si="0"/>
        <v>2051</v>
      </c>
      <c r="AF6" s="20">
        <f t="shared" si="0"/>
        <v>2052</v>
      </c>
      <c r="AG6" s="20">
        <f t="shared" ref="AG6" si="1">$D$6+AF5</f>
        <v>2053</v>
      </c>
      <c r="AH6" s="20">
        <f t="shared" ref="AH6" si="2">$D$6+AG5</f>
        <v>2054</v>
      </c>
      <c r="AI6" s="20">
        <f t="shared" ref="AI6" si="3">$D$6+AH5</f>
        <v>2055</v>
      </c>
      <c r="AJ6" s="20">
        <f t="shared" ref="AJ6" si="4">$D$6+AI5</f>
        <v>2056</v>
      </c>
      <c r="AK6" s="20">
        <f t="shared" ref="AK6" si="5">$D$6+AJ5</f>
        <v>2057</v>
      </c>
      <c r="AL6" s="20">
        <f t="shared" ref="AL6" si="6">$D$6+AK5</f>
        <v>2058</v>
      </c>
      <c r="AM6" s="20">
        <f t="shared" ref="AM6" si="7">$D$6+AL5</f>
        <v>2059</v>
      </c>
      <c r="AN6" s="20">
        <f t="shared" ref="AN6" si="8">$D$6+AM5</f>
        <v>2060</v>
      </c>
      <c r="AO6" s="20">
        <f t="shared" ref="AO6" si="9">$D$6+AN5</f>
        <v>2061</v>
      </c>
      <c r="AP6" s="20">
        <f t="shared" ref="AP6" si="10">$D$6+AO5</f>
        <v>2062</v>
      </c>
      <c r="AQ6" s="20">
        <f t="shared" ref="AQ6" si="11">$D$6+AP5</f>
        <v>2063</v>
      </c>
    </row>
    <row r="7" spans="2:43">
      <c r="B7" s="3" t="s">
        <v>27</v>
      </c>
      <c r="C7" s="142">
        <f t="shared" ref="C7:C12" si="12">SUM(D7:AQ7)</f>
        <v>0</v>
      </c>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row>
    <row r="8" spans="2:43">
      <c r="B8" s="3" t="s">
        <v>28</v>
      </c>
      <c r="C8" s="142">
        <f t="shared" si="12"/>
        <v>0</v>
      </c>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row>
    <row r="9" spans="2:43" ht="12" thickBot="1">
      <c r="B9" s="28" t="s">
        <v>283</v>
      </c>
      <c r="C9" s="143">
        <f t="shared" si="12"/>
        <v>3783441.5781163056</v>
      </c>
      <c r="D9" s="143">
        <f>'Vstupy EA'!G4+'Vstupy EA'!G5</f>
        <v>0</v>
      </c>
      <c r="E9" s="143">
        <f>'Vstupy EA'!H4+'Vstupy EA'!H5</f>
        <v>0</v>
      </c>
      <c r="F9" s="143">
        <f>'Vstupy EA'!I4+'Vstupy EA'!I5</f>
        <v>0</v>
      </c>
      <c r="G9" s="143">
        <f>'Vstupy EA'!J4+'Vstupy EA'!J5</f>
        <v>28475.548707269048</v>
      </c>
      <c r="H9" s="143">
        <f>'Vstupy EA'!K4+'Vstupy EA'!K5</f>
        <v>114083.53912093185</v>
      </c>
      <c r="I9" s="143">
        <f>'Vstupy EA'!L4+'Vstupy EA'!L5</f>
        <v>114246.10492254767</v>
      </c>
      <c r="J9" s="143">
        <f>'Vstupy EA'!M4+'Vstupy EA'!M5</f>
        <v>114386.42871656203</v>
      </c>
      <c r="K9" s="143">
        <f>'Vstupy EA'!N4+'Vstupy EA'!N5</f>
        <v>114543.35765732454</v>
      </c>
      <c r="L9" s="143">
        <f>'Vstupy EA'!O4+'Vstupy EA'!O5</f>
        <v>114688.18997274057</v>
      </c>
      <c r="M9" s="143">
        <f>'Vstupy EA'!P4+'Vstupy EA'!P5</f>
        <v>114812.54142864251</v>
      </c>
      <c r="N9" s="143">
        <f>'Vstupy EA'!Q4+'Vstupy EA'!Q5</f>
        <v>114915.69684769267</v>
      </c>
      <c r="O9" s="143">
        <f>'Vstupy EA'!R4+'Vstupy EA'!R5</f>
        <v>115005.16628645312</v>
      </c>
      <c r="P9" s="143">
        <f>'Vstupy EA'!S4+'Vstupy EA'!S5</f>
        <v>115018.54997357784</v>
      </c>
      <c r="Q9" s="143">
        <f>'Vstupy EA'!T4+'Vstupy EA'!T5</f>
        <v>114955.77092916898</v>
      </c>
      <c r="R9" s="143">
        <f>'Vstupy EA'!U4+'Vstupy EA'!U5</f>
        <v>114816.90341627989</v>
      </c>
      <c r="S9" s="143">
        <f>'Vstupy EA'!V4+'Vstupy EA'!V5</f>
        <v>114602.17286202985</v>
      </c>
      <c r="T9" s="143">
        <f>'Vstupy EA'!W4+'Vstupy EA'!W5</f>
        <v>114311.9552781598</v>
      </c>
      <c r="U9" s="143">
        <f>'Vstupy EA'!X4+'Vstupy EA'!X5</f>
        <v>113917.55340910441</v>
      </c>
      <c r="V9" s="143">
        <f>'Vstupy EA'!Y4+'Vstupy EA'!Y5</f>
        <v>113419.95505424406</v>
      </c>
      <c r="W9" s="143">
        <f>'Vstupy EA'!Z4+'Vstupy EA'!Z5</f>
        <v>112820.42966305323</v>
      </c>
      <c r="X9" s="143">
        <f>'Vstupy EA'!AA4+'Vstupy EA'!AA5</f>
        <v>112120.52296142299</v>
      </c>
      <c r="Y9" s="143">
        <f>'Vstupy EA'!AB4+'Vstupy EA'!AB5</f>
        <v>111322.05032371065</v>
      </c>
      <c r="Z9" s="143">
        <f>'Vstupy EA'!AC4+'Vstupy EA'!AC5</f>
        <v>110382.48836192304</v>
      </c>
      <c r="AA9" s="143">
        <f>'Vstupy EA'!AD4+'Vstupy EA'!AD5</f>
        <v>109305.31939702114</v>
      </c>
      <c r="AB9" s="143">
        <f>'Vstupy EA'!AE4+'Vstupy EA'!AE5</f>
        <v>108094.54524700607</v>
      </c>
      <c r="AC9" s="143">
        <f>'Vstupy EA'!AF4+'Vstupy EA'!AF5</f>
        <v>106754.66242233368</v>
      </c>
      <c r="AD9" s="143">
        <f>'Vstupy EA'!AG4+'Vstupy EA'!AG5</f>
        <v>105290.63423675508</v>
      </c>
      <c r="AE9" s="143">
        <f>'Vstupy EA'!AH4+'Vstupy EA'!AH5</f>
        <v>103648.48712386568</v>
      </c>
      <c r="AF9" s="143">
        <f>'Vstupy EA'!AI4+'Vstupy EA'!AI5</f>
        <v>101836.84601966848</v>
      </c>
      <c r="AG9" s="143">
        <f>'Vstupy EA'!AJ4+'Vstupy EA'!AJ5</f>
        <v>99865.174735162349</v>
      </c>
      <c r="AH9" s="143">
        <f>'Vstupy EA'!AK4+'Vstupy EA'!AK5</f>
        <v>97743.69319476097</v>
      </c>
      <c r="AI9" s="143">
        <f>'Vstupy EA'!AL4+'Vstupy EA'!AL5</f>
        <v>95483.288693199502</v>
      </c>
      <c r="AJ9" s="143">
        <f>'Vstupy EA'!AM4+'Vstupy EA'!AM5</f>
        <v>93024.263295393757</v>
      </c>
      <c r="AK9" s="143">
        <f>'Vstupy EA'!AN4+'Vstupy EA'!AN5</f>
        <v>90384.133017403714</v>
      </c>
      <c r="AL9" s="143">
        <f>'Vstupy EA'!AO4+'Vstupy EA'!AO5</f>
        <v>87581.4364378834</v>
      </c>
      <c r="AM9" s="143">
        <f>'Vstupy EA'!AP4+'Vstupy EA'!AP5</f>
        <v>84635.516201192688</v>
      </c>
      <c r="AN9" s="143">
        <f>'Vstupy EA'!AQ4+'Vstupy EA'!AQ5</f>
        <v>81566.29500935656</v>
      </c>
      <c r="AO9" s="143">
        <f>'Vstupy EA'!AR4+'Vstupy EA'!AR5</f>
        <v>78396.932595705628</v>
      </c>
      <c r="AP9" s="143">
        <f>'Vstupy EA'!AS4+'Vstupy EA'!AS5</f>
        <v>75147.492229212003</v>
      </c>
      <c r="AQ9" s="143">
        <f>'Vstupy EA'!AT4+'Vstupy EA'!AT5</f>
        <v>71837.932367545975</v>
      </c>
    </row>
    <row r="10" spans="2:43" ht="12" thickTop="1">
      <c r="B10" s="33" t="s">
        <v>200</v>
      </c>
      <c r="C10" s="144">
        <f t="shared" si="12"/>
        <v>162687.98785900115</v>
      </c>
      <c r="D10" s="144">
        <f>D9*Parametre!$C$126</f>
        <v>0</v>
      </c>
      <c r="E10" s="144">
        <f>E9*Parametre!$C$126</f>
        <v>0</v>
      </c>
      <c r="F10" s="144">
        <f>F9*Parametre!$C$126</f>
        <v>0</v>
      </c>
      <c r="G10" s="144">
        <f>G9*Parametre!$C$126</f>
        <v>1224.448594412569</v>
      </c>
      <c r="H10" s="144">
        <f>H9*Parametre!$C$126</f>
        <v>4905.5921822000691</v>
      </c>
      <c r="I10" s="144">
        <f>I9*Parametre!$C$126</f>
        <v>4912.5825116695496</v>
      </c>
      <c r="J10" s="144">
        <f>J9*Parametre!$C$126</f>
        <v>4918.6164348121674</v>
      </c>
      <c r="K10" s="144">
        <f>K9*Parametre!$C$126</f>
        <v>4925.3643792649546</v>
      </c>
      <c r="L10" s="144">
        <f>L9*Parametre!$C$126</f>
        <v>4931.592168827844</v>
      </c>
      <c r="M10" s="144">
        <f>M9*Parametre!$C$126</f>
        <v>4936.939281431627</v>
      </c>
      <c r="N10" s="144">
        <f>N9*Parametre!$C$126</f>
        <v>4941.3749644507843</v>
      </c>
      <c r="O10" s="144">
        <f>O9*Parametre!$C$126</f>
        <v>4945.2221503174842</v>
      </c>
      <c r="P10" s="144">
        <f>P9*Parametre!$C$126</f>
        <v>4945.7976488638469</v>
      </c>
      <c r="Q10" s="144">
        <f>Q9*Parametre!$C$126</f>
        <v>4943.0981499542659</v>
      </c>
      <c r="R10" s="144">
        <f>R9*Parametre!$C$126</f>
        <v>4937.1268469000352</v>
      </c>
      <c r="S10" s="144">
        <f>S9*Parametre!$C$126</f>
        <v>4927.8934330672837</v>
      </c>
      <c r="T10" s="144">
        <f>T9*Parametre!$C$126</f>
        <v>4915.4140769608712</v>
      </c>
      <c r="U10" s="144">
        <f>U9*Parametre!$C$126</f>
        <v>4898.454796591489</v>
      </c>
      <c r="V10" s="144">
        <f>V9*Parametre!$C$126</f>
        <v>4877.0580673324939</v>
      </c>
      <c r="W10" s="144">
        <f>W9*Parametre!$C$126</f>
        <v>4851.2784755112889</v>
      </c>
      <c r="X10" s="144">
        <f>X9*Parametre!$C$126</f>
        <v>4821.1824873411879</v>
      </c>
      <c r="Y10" s="144">
        <f>Y9*Parametre!$C$126</f>
        <v>4786.848163919557</v>
      </c>
      <c r="Z10" s="144">
        <f>Z9*Parametre!$C$126</f>
        <v>4746.4469995626905</v>
      </c>
      <c r="AA10" s="144">
        <f>AA9*Parametre!$C$126</f>
        <v>4700.1287340719091</v>
      </c>
      <c r="AB10" s="144">
        <f>AB9*Parametre!$C$126</f>
        <v>4648.0654456212606</v>
      </c>
      <c r="AC10" s="144">
        <f>AC9*Parametre!$C$126</f>
        <v>4590.4504841603484</v>
      </c>
      <c r="AD10" s="144">
        <f>AD9*Parametre!$C$126</f>
        <v>4527.4972721804679</v>
      </c>
      <c r="AE10" s="144">
        <f>AE9*Parametre!$C$126</f>
        <v>4456.8849463262241</v>
      </c>
      <c r="AF10" s="144">
        <f>AF9*Parametre!$C$126</f>
        <v>4378.9843788457438</v>
      </c>
      <c r="AG10" s="144">
        <f>AG9*Parametre!$C$126</f>
        <v>4294.202513611981</v>
      </c>
      <c r="AH10" s="144">
        <f>AH9*Parametre!$C$126</f>
        <v>4202.9788073747213</v>
      </c>
      <c r="AI10" s="144">
        <f>AI9*Parametre!$C$126</f>
        <v>4105.7814138075782</v>
      </c>
      <c r="AJ10" s="144">
        <f>AJ9*Parametre!$C$126</f>
        <v>4000.0433217019313</v>
      </c>
      <c r="AK10" s="144">
        <f>AK9*Parametre!$C$126</f>
        <v>3886.5177197483595</v>
      </c>
      <c r="AL10" s="144">
        <f>AL9*Parametre!$C$126</f>
        <v>3766.0017668289861</v>
      </c>
      <c r="AM10" s="144">
        <f>AM9*Parametre!$C$126</f>
        <v>3639.3271966512852</v>
      </c>
      <c r="AN10" s="144">
        <f>AN9*Parametre!$C$126</f>
        <v>3507.3506854023317</v>
      </c>
      <c r="AO10" s="144">
        <f>AO9*Parametre!$C$126</f>
        <v>3371.0681016153417</v>
      </c>
      <c r="AP10" s="144">
        <f>AP9*Parametre!$C$126</f>
        <v>3231.342165856116</v>
      </c>
      <c r="AQ10" s="144">
        <f>AQ9*Parametre!$C$126</f>
        <v>3089.0310918044765</v>
      </c>
    </row>
    <row r="11" spans="2:43">
      <c r="B11" s="3" t="s">
        <v>128</v>
      </c>
      <c r="C11" s="142">
        <f t="shared" si="12"/>
        <v>968561.04399777413</v>
      </c>
      <c r="D11" s="142">
        <f>D9*Parametre!$D$126</f>
        <v>0</v>
      </c>
      <c r="E11" s="142">
        <f>E9*Parametre!$D$126</f>
        <v>0</v>
      </c>
      <c r="F11" s="142">
        <f>F9*Parametre!$D$126</f>
        <v>0</v>
      </c>
      <c r="G11" s="142">
        <f>G9*Parametre!$D$126</f>
        <v>7289.7404690608764</v>
      </c>
      <c r="H11" s="142">
        <f>H9*Parametre!$D$126</f>
        <v>29205.386014958553</v>
      </c>
      <c r="I11" s="142">
        <f>I9*Parametre!$D$126</f>
        <v>29247.002860172204</v>
      </c>
      <c r="J11" s="142">
        <f>J9*Parametre!$D$126</f>
        <v>29282.925751439881</v>
      </c>
      <c r="K11" s="142">
        <f>K9*Parametre!$D$126</f>
        <v>29323.099560275081</v>
      </c>
      <c r="L11" s="142">
        <f>L9*Parametre!$D$126</f>
        <v>29360.176633021587</v>
      </c>
      <c r="M11" s="142">
        <f>M9*Parametre!$D$126</f>
        <v>29392.010605732481</v>
      </c>
      <c r="N11" s="142">
        <f>N9*Parametre!$D$126</f>
        <v>29418.418393009324</v>
      </c>
      <c r="O11" s="142">
        <f>O9*Parametre!$D$126</f>
        <v>29441.322569332002</v>
      </c>
      <c r="P11" s="142">
        <f>P9*Parametre!$D$126</f>
        <v>29444.748793235929</v>
      </c>
      <c r="Q11" s="142">
        <f>Q9*Parametre!$D$126</f>
        <v>29428.677357867262</v>
      </c>
      <c r="R11" s="142">
        <f>R9*Parametre!$D$126</f>
        <v>29393.127274567654</v>
      </c>
      <c r="S11" s="142">
        <f>S9*Parametre!$D$126</f>
        <v>29338.156252679644</v>
      </c>
      <c r="T11" s="142">
        <f>T9*Parametre!$D$126</f>
        <v>29263.860551208909</v>
      </c>
      <c r="U11" s="142">
        <f>U9*Parametre!$D$126</f>
        <v>29162.89367273073</v>
      </c>
      <c r="V11" s="142">
        <f>V9*Parametre!$D$126</f>
        <v>29035.508493886478</v>
      </c>
      <c r="W11" s="142">
        <f>W9*Parametre!$D$126</f>
        <v>28882.029993741628</v>
      </c>
      <c r="X11" s="142">
        <f>X9*Parametre!$D$126</f>
        <v>28702.853878124286</v>
      </c>
      <c r="Y11" s="142">
        <f>Y9*Parametre!$D$126</f>
        <v>28498.444882869924</v>
      </c>
      <c r="Z11" s="142">
        <f>Z9*Parametre!$D$126</f>
        <v>28257.917020652298</v>
      </c>
      <c r="AA11" s="142">
        <f>AA9*Parametre!$D$126</f>
        <v>27982.161765637415</v>
      </c>
      <c r="AB11" s="142">
        <f>AB9*Parametre!$D$126</f>
        <v>27672.203583233553</v>
      </c>
      <c r="AC11" s="142">
        <f>AC9*Parametre!$D$126</f>
        <v>27329.193580117422</v>
      </c>
      <c r="AD11" s="142">
        <f>AD9*Parametre!$D$126</f>
        <v>26954.402364609301</v>
      </c>
      <c r="AE11" s="142">
        <f>AE9*Parametre!$D$126</f>
        <v>26534.012703709614</v>
      </c>
      <c r="AF11" s="142">
        <f>AF9*Parametre!$D$126</f>
        <v>26070.232581035129</v>
      </c>
      <c r="AG11" s="142">
        <f>AG9*Parametre!$D$126</f>
        <v>25565.484732201563</v>
      </c>
      <c r="AH11" s="142">
        <f>AH9*Parametre!$D$126</f>
        <v>25022.385457858807</v>
      </c>
      <c r="AI11" s="142">
        <f>AI9*Parametre!$D$126</f>
        <v>24443.721905459071</v>
      </c>
      <c r="AJ11" s="142">
        <f>AJ9*Parametre!$D$126</f>
        <v>23814.211403620804</v>
      </c>
      <c r="AK11" s="142">
        <f>AK9*Parametre!$D$126</f>
        <v>23138.33805245535</v>
      </c>
      <c r="AL11" s="142">
        <f>AL9*Parametre!$D$126</f>
        <v>22420.84772809815</v>
      </c>
      <c r="AM11" s="142">
        <f>AM9*Parametre!$D$126</f>
        <v>21666.692147505328</v>
      </c>
      <c r="AN11" s="142">
        <f>AN9*Parametre!$D$126</f>
        <v>20880.971522395281</v>
      </c>
      <c r="AO11" s="142">
        <f>AO9*Parametre!$D$126</f>
        <v>20069.614744500643</v>
      </c>
      <c r="AP11" s="142">
        <f>AP9*Parametre!$D$126</f>
        <v>19237.758010678273</v>
      </c>
      <c r="AQ11" s="142">
        <f>AQ9*Parametre!$D$126</f>
        <v>18390.510686091769</v>
      </c>
    </row>
    <row r="12" spans="2:43">
      <c r="B12" s="3" t="s">
        <v>129</v>
      </c>
      <c r="C12" s="142">
        <f t="shared" si="12"/>
        <v>2652192.5462595299</v>
      </c>
      <c r="D12" s="142">
        <f>D9*Parametre!$E$126</f>
        <v>0</v>
      </c>
      <c r="E12" s="142">
        <f>E9*Parametre!$E$126</f>
        <v>0</v>
      </c>
      <c r="F12" s="142">
        <f>F9*Parametre!$E$126</f>
        <v>0</v>
      </c>
      <c r="G12" s="142">
        <f>G9*Parametre!$E$126</f>
        <v>19961.3596437956</v>
      </c>
      <c r="H12" s="142">
        <f>H9*Parametre!$E$126</f>
        <v>79972.560923773213</v>
      </c>
      <c r="I12" s="142">
        <f>I9*Parametre!$E$126</f>
        <v>80086.519550705911</v>
      </c>
      <c r="J12" s="142">
        <f>J9*Parametre!$E$126</f>
        <v>80184.886530309974</v>
      </c>
      <c r="K12" s="142">
        <f>K9*Parametre!$E$126</f>
        <v>80294.893717784493</v>
      </c>
      <c r="L12" s="142">
        <f>L9*Parametre!$E$126</f>
        <v>80396.421170891132</v>
      </c>
      <c r="M12" s="142">
        <f>M9*Parametre!$E$126</f>
        <v>80483.591541478396</v>
      </c>
      <c r="N12" s="142">
        <f>N9*Parametre!$E$126</f>
        <v>80555.903490232551</v>
      </c>
      <c r="O12" s="142">
        <f>O9*Parametre!$E$126</f>
        <v>80618.621566803631</v>
      </c>
      <c r="P12" s="142">
        <f>P9*Parametre!$E$126</f>
        <v>80628.003531478069</v>
      </c>
      <c r="Q12" s="142">
        <f>Q9*Parametre!$E$126</f>
        <v>80583.995421347456</v>
      </c>
      <c r="R12" s="142">
        <f>R9*Parametre!$E$126</f>
        <v>80486.649294812203</v>
      </c>
      <c r="S12" s="142">
        <f>S9*Parametre!$E$126</f>
        <v>80336.123176282927</v>
      </c>
      <c r="T12" s="142">
        <f>T9*Parametre!$E$126</f>
        <v>80132.680649990012</v>
      </c>
      <c r="U12" s="142">
        <f>U9*Parametre!$E$126</f>
        <v>79856.204939782183</v>
      </c>
      <c r="V12" s="142">
        <f>V9*Parametre!$E$126</f>
        <v>79507.388493025079</v>
      </c>
      <c r="W12" s="142">
        <f>W9*Parametre!$E$126</f>
        <v>79087.121193800311</v>
      </c>
      <c r="X12" s="142">
        <f>X9*Parametre!$E$126</f>
        <v>78596.486595957511</v>
      </c>
      <c r="Y12" s="142">
        <f>Y9*Parametre!$E$126</f>
        <v>78036.757276921155</v>
      </c>
      <c r="Z12" s="142">
        <f>Z9*Parametre!$E$126</f>
        <v>77378.12434170804</v>
      </c>
      <c r="AA12" s="142">
        <f>AA9*Parametre!$E$126</f>
        <v>76623.028897311815</v>
      </c>
      <c r="AB12" s="142">
        <f>AB9*Parametre!$E$126</f>
        <v>75774.276218151252</v>
      </c>
      <c r="AC12" s="142">
        <f>AC9*Parametre!$E$126</f>
        <v>74835.01835805591</v>
      </c>
      <c r="AD12" s="142">
        <f>AD9*Parametre!$E$126</f>
        <v>73808.734599965304</v>
      </c>
      <c r="AE12" s="142">
        <f>AE9*Parametre!$E$126</f>
        <v>72657.589473829838</v>
      </c>
      <c r="AF12" s="142">
        <f>AF9*Parametre!$E$126</f>
        <v>71387.629059787592</v>
      </c>
      <c r="AG12" s="142">
        <f>AG9*Parametre!$E$126</f>
        <v>70005.487489348801</v>
      </c>
      <c r="AH12" s="142">
        <f>AH9*Parametre!$E$126</f>
        <v>68518.32892952743</v>
      </c>
      <c r="AI12" s="142">
        <f>AI9*Parametre!$E$126</f>
        <v>66933.785373932842</v>
      </c>
      <c r="AJ12" s="142">
        <f>AJ9*Parametre!$E$126</f>
        <v>65210.008570071019</v>
      </c>
      <c r="AK12" s="142">
        <f>AK9*Parametre!$E$126</f>
        <v>63359.277245199999</v>
      </c>
      <c r="AL12" s="142">
        <f>AL9*Parametre!$E$126</f>
        <v>61394.586942956259</v>
      </c>
      <c r="AM12" s="142">
        <f>AM9*Parametre!$E$126</f>
        <v>59329.496857036072</v>
      </c>
      <c r="AN12" s="142">
        <f>AN9*Parametre!$E$126</f>
        <v>57177.972801558943</v>
      </c>
      <c r="AO12" s="142">
        <f>AO9*Parametre!$E$126</f>
        <v>54956.249749589639</v>
      </c>
      <c r="AP12" s="142">
        <f>AP9*Parametre!$E$126</f>
        <v>52678.392052677613</v>
      </c>
      <c r="AQ12" s="142">
        <f>AQ9*Parametre!$E$126</f>
        <v>50358.390589649724</v>
      </c>
    </row>
    <row r="14" spans="2:43">
      <c r="B14" s="15" t="s">
        <v>284</v>
      </c>
    </row>
    <row r="15" spans="2:43">
      <c r="B15" s="8" t="s">
        <v>200</v>
      </c>
      <c r="C15" s="142">
        <f>SUM(D15:AQ15)</f>
        <v>4190687.1494270023</v>
      </c>
      <c r="D15" s="142">
        <f>D10*Parametre!F130</f>
        <v>0</v>
      </c>
      <c r="E15" s="142">
        <f>E10*Parametre!G130</f>
        <v>0</v>
      </c>
      <c r="F15" s="142">
        <f>F10*Parametre!H130</f>
        <v>0</v>
      </c>
      <c r="G15" s="142">
        <f>G10*Parametre!I130</f>
        <v>27084.802908406029</v>
      </c>
      <c r="H15" s="142">
        <f>H10*Parametre!J130</f>
        <v>109787.15303763754</v>
      </c>
      <c r="I15" s="142">
        <f>I10*Parametre!K130</f>
        <v>111269.99388931529</v>
      </c>
      <c r="J15" s="142">
        <f>J10*Parametre!L130</f>
        <v>112734.68868589489</v>
      </c>
      <c r="K15" s="142">
        <f>K10*Parametre!M130</f>
        <v>113825.1708048131</v>
      </c>
      <c r="L15" s="142">
        <f>L10*Parametre!N130</f>
        <v>114906.09753368876</v>
      </c>
      <c r="M15" s="142">
        <f>M10*Parametre!O130</f>
        <v>116018.07311364323</v>
      </c>
      <c r="N15" s="142">
        <f>N10*Parametre!P130</f>
        <v>117110.58665748358</v>
      </c>
      <c r="O15" s="142">
        <f>O10*Parametre!Q130</f>
        <v>118190.80939258786</v>
      </c>
      <c r="P15" s="142">
        <f>P10*Parametre!R130</f>
        <v>119193.72333761872</v>
      </c>
      <c r="Q15" s="142">
        <f>Q10*Parametre!S130</f>
        <v>120117.28504388867</v>
      </c>
      <c r="R15" s="142">
        <f>R10*Parametre!T130</f>
        <v>120959.60774905086</v>
      </c>
      <c r="S15" s="142">
        <f>S10*Parametre!U130</f>
        <v>121768.24673109259</v>
      </c>
      <c r="T15" s="142">
        <f>T10*Parametre!V130</f>
        <v>122492.11879786492</v>
      </c>
      <c r="U15" s="142">
        <f>U10*Parametre!W130</f>
        <v>122902.23084648045</v>
      </c>
      <c r="V15" s="142">
        <f>V10*Parametre!X130</f>
        <v>123243.25736149211</v>
      </c>
      <c r="W15" s="142">
        <f>W10*Parametre!Y130</f>
        <v>123465.0372017623</v>
      </c>
      <c r="X15" s="142">
        <f>X10*Parametre!Z130</f>
        <v>123566.90715055465</v>
      </c>
      <c r="Y15" s="142">
        <f>Y10*Parametre!AA130</f>
        <v>123548.55111076376</v>
      </c>
      <c r="Z15" s="142">
        <f>Z10*Parametre!AB130</f>
        <v>123360.15751863433</v>
      </c>
      <c r="AA15" s="142">
        <f>AA10*Parametre!AC130</f>
        <v>123002.36897066188</v>
      </c>
      <c r="AB15" s="142">
        <f>AB10*Parametre!AD130</f>
        <v>122476.52449212022</v>
      </c>
      <c r="AC15" s="142">
        <f>AC10*Parametre!AE130</f>
        <v>121784.65134477404</v>
      </c>
      <c r="AD15" s="142">
        <f>AD10*Parametre!AF130</f>
        <v>120974.72711266209</v>
      </c>
      <c r="AE15" s="142">
        <f>AE10*Parametre!AG130</f>
        <v>120157.61815295501</v>
      </c>
      <c r="AF15" s="142">
        <f>AF10*Parametre!AH130</f>
        <v>119152.16494839269</v>
      </c>
      <c r="AG15" s="142">
        <f>AG10*Parametre!AI130</f>
        <v>117918.801023785</v>
      </c>
      <c r="AH15" s="142">
        <f>AH10*Parametre!AJ130</f>
        <v>116464.54275235353</v>
      </c>
      <c r="AI15" s="142">
        <f>AI10*Parametre!AK130</f>
        <v>114797.64833005989</v>
      </c>
      <c r="AJ15" s="142">
        <f>AJ10*Parametre!AL130</f>
        <v>112841.22210521149</v>
      </c>
      <c r="AK15" s="142">
        <f>AK10*Parametre!AM130</f>
        <v>110649.15948123579</v>
      </c>
      <c r="AL15" s="142">
        <f>AL10*Parametre!AN130</f>
        <v>108197.23076099677</v>
      </c>
      <c r="AM15" s="142">
        <f>AM10*Parametre!AO130</f>
        <v>105504.09543092076</v>
      </c>
      <c r="AN15" s="142">
        <f>AN10*Parametre!AP130</f>
        <v>102590.0075480182</v>
      </c>
      <c r="AO15" s="142">
        <f>AO10*Parametre!AQ130</f>
        <v>99513.930359684891</v>
      </c>
      <c r="AP15" s="142">
        <f>AP10*Parametre!AR130</f>
        <v>96261.68312085369</v>
      </c>
      <c r="AQ15" s="142">
        <f>AQ10*Parametre!AS130</f>
        <v>92856.274619642558</v>
      </c>
    </row>
    <row r="16" spans="2:43">
      <c r="B16" s="8" t="s">
        <v>128</v>
      </c>
      <c r="C16" s="142">
        <f>SUM(D16:AQ16)</f>
        <v>11103814.028937951</v>
      </c>
      <c r="D16" s="142">
        <f>D11*Parametre!F131</f>
        <v>0</v>
      </c>
      <c r="E16" s="142">
        <f>E11*Parametre!G131</f>
        <v>0</v>
      </c>
      <c r="F16" s="142">
        <f>F11*Parametre!H131</f>
        <v>0</v>
      </c>
      <c r="G16" s="142">
        <f>G11*Parametre!I131</f>
        <v>74865.6346172552</v>
      </c>
      <c r="H16" s="142">
        <f>H11*Parametre!J131</f>
        <v>302567.79911497061</v>
      </c>
      <c r="I16" s="142">
        <f>I11*Parametre!K131</f>
        <v>305631.1798887995</v>
      </c>
      <c r="J16" s="142">
        <f>J11*Parametre!L131</f>
        <v>308642.03742017632</v>
      </c>
      <c r="K16" s="142">
        <f>K11*Parametre!M131</f>
        <v>310824.85533891583</v>
      </c>
      <c r="L16" s="142">
        <f>L11*Parametre!N131</f>
        <v>312979.48290801013</v>
      </c>
      <c r="M16" s="142">
        <f>M11*Parametre!O131</f>
        <v>315082.3536934522</v>
      </c>
      <c r="N16" s="142">
        <f>N11*Parametre!P131</f>
        <v>317130.55027664051</v>
      </c>
      <c r="O16" s="142">
        <f>O11*Parametre!Q131</f>
        <v>319143.93665155891</v>
      </c>
      <c r="P16" s="142">
        <f>P11*Parametre!R131</f>
        <v>321242.20933420397</v>
      </c>
      <c r="Q16" s="142">
        <f>Q11*Parametre!S131</f>
        <v>323126.87738938257</v>
      </c>
      <c r="R16" s="142">
        <f>R11*Parametre!T131</f>
        <v>324794.05638397258</v>
      </c>
      <c r="S16" s="142">
        <f>S11*Parametre!U131</f>
        <v>326240.29752979759</v>
      </c>
      <c r="T16" s="142">
        <f>T11*Parametre!V131</f>
        <v>327462.59956802765</v>
      </c>
      <c r="U16" s="142">
        <f>U11*Parametre!W131</f>
        <v>328082.55381822074</v>
      </c>
      <c r="V16" s="142">
        <f>V11*Parametre!X131</f>
        <v>328391.60106585611</v>
      </c>
      <c r="W16" s="142">
        <f>W11*Parametre!Y131</f>
        <v>328388.68102884229</v>
      </c>
      <c r="X16" s="142">
        <f>X11*Parametre!Z131</f>
        <v>328073.61982696055</v>
      </c>
      <c r="Y16" s="142">
        <f>Y11*Parametre!AA131</f>
        <v>327447.13170417544</v>
      </c>
      <c r="Z16" s="142">
        <f>Z11*Parametre!AB131</f>
        <v>326378.94158853404</v>
      </c>
      <c r="AA16" s="142">
        <f>AA11*Parametre!AC131</f>
        <v>324872.89809905039</v>
      </c>
      <c r="AB16" s="142">
        <f>AB11*Parametre!AD131</f>
        <v>322934.61581633554</v>
      </c>
      <c r="AC16" s="142">
        <f>AC11*Parametre!AE131</f>
        <v>320571.44069477735</v>
      </c>
      <c r="AD16" s="142">
        <f>AD11*Parametre!AF131</f>
        <v>317792.40387874364</v>
      </c>
      <c r="AE16" s="142">
        <f>AE11*Parametre!AG131</f>
        <v>314958.73079303309</v>
      </c>
      <c r="AF16" s="142">
        <f>AF11*Parametre!AH131</f>
        <v>311539.27934336977</v>
      </c>
      <c r="AG16" s="142">
        <f>AG11*Parametre!AI131</f>
        <v>307552.78132838476</v>
      </c>
      <c r="AH16" s="142">
        <f>AH11*Parametre!AJ131</f>
        <v>303021.08789467014</v>
      </c>
      <c r="AI16" s="142">
        <f>AI11*Parametre!AK131</f>
        <v>297968.97002754605</v>
      </c>
      <c r="AJ16" s="142">
        <f>AJ11*Parametre!AL131</f>
        <v>292200.37392242724</v>
      </c>
      <c r="AK16" s="142">
        <f>AK11*Parametre!AM131</f>
        <v>285758.47494782356</v>
      </c>
      <c r="AL16" s="142">
        <f>AL11*Parametre!AN131</f>
        <v>278691.13726026</v>
      </c>
      <c r="AM16" s="142">
        <f>AM11*Parametre!AO131</f>
        <v>271050.31876529165</v>
      </c>
      <c r="AN16" s="142">
        <f>AN11*Parametre!AP131</f>
        <v>262891.43146695656</v>
      </c>
      <c r="AO16" s="142">
        <f>AO11*Parametre!AQ131</f>
        <v>254282.01881282314</v>
      </c>
      <c r="AP16" s="142">
        <f>AP11*Parametre!AR131</f>
        <v>245281.41463614799</v>
      </c>
      <c r="AQ16" s="142">
        <f>AQ11*Parametre!AS131</f>
        <v>235950.2521025574</v>
      </c>
    </row>
    <row r="17" spans="2:43">
      <c r="B17" s="8" t="s">
        <v>129</v>
      </c>
      <c r="C17" s="145">
        <f>SUM(D17:AQ17)</f>
        <v>19802447.539145339</v>
      </c>
      <c r="D17" s="142">
        <f>D12*Parametre!F132</f>
        <v>0</v>
      </c>
      <c r="E17" s="142">
        <f>E12*Parametre!G132</f>
        <v>0</v>
      </c>
      <c r="F17" s="142">
        <f>F12*Parametre!H132</f>
        <v>0</v>
      </c>
      <c r="G17" s="142">
        <f>G12*Parametre!I132</f>
        <v>133741.10961343051</v>
      </c>
      <c r="H17" s="142">
        <f>H12*Parametre!J132</f>
        <v>540614.51184470695</v>
      </c>
      <c r="I17" s="142">
        <f>I12*Parametre!K132</f>
        <v>546190.06333581428</v>
      </c>
      <c r="J17" s="142">
        <f>J12*Parametre!L132</f>
        <v>551672.01932853262</v>
      </c>
      <c r="K17" s="142">
        <f>K12*Parametre!M132</f>
        <v>555640.66452706873</v>
      </c>
      <c r="L17" s="142">
        <f>L12*Parametre!N132</f>
        <v>559559.09134940233</v>
      </c>
      <c r="M17" s="142">
        <f>M12*Parametre!O132</f>
        <v>563385.14079034876</v>
      </c>
      <c r="N17" s="142">
        <f>N12*Parametre!P132</f>
        <v>567113.56057123712</v>
      </c>
      <c r="O17" s="142">
        <f>O12*Parametre!Q132</f>
        <v>570779.84069296974</v>
      </c>
      <c r="P17" s="142">
        <f>P12*Parametre!R132</f>
        <v>574071.38514412381</v>
      </c>
      <c r="Q17" s="142">
        <f>Q12*Parametre!S132</f>
        <v>576981.40721684776</v>
      </c>
      <c r="R17" s="142">
        <f>R12*Parametre!T132</f>
        <v>579503.87492264784</v>
      </c>
      <c r="S17" s="142">
        <f>S12*Parametre!U132</f>
        <v>581633.53179628844</v>
      </c>
      <c r="T17" s="142">
        <f>T12*Parametre!V132</f>
        <v>583365.91513192735</v>
      </c>
      <c r="U17" s="142">
        <f>U12*Parametre!W132</f>
        <v>584547.42015920556</v>
      </c>
      <c r="V17" s="142">
        <f>V12*Parametre!X132</f>
        <v>585174.37930866459</v>
      </c>
      <c r="W17" s="142">
        <f>W12*Parametre!Y132</f>
        <v>585244.6968341223</v>
      </c>
      <c r="X17" s="142">
        <f>X12*Parametre!Z132</f>
        <v>584757.86027392396</v>
      </c>
      <c r="Y17" s="142">
        <f>Y12*Parametre!AA132</f>
        <v>583714.94443137024</v>
      </c>
      <c r="Z17" s="142">
        <f>Z12*Parametre!AB132</f>
        <v>581883.49504964438</v>
      </c>
      <c r="AA17" s="142">
        <f>AA12*Parametre!AC132</f>
        <v>579270.09846367734</v>
      </c>
      <c r="AB17" s="142">
        <f>AB12*Parametre!AD132</f>
        <v>575884.49925794953</v>
      </c>
      <c r="AC17" s="142">
        <f>AC12*Parametre!AE132</f>
        <v>571739.54025554715</v>
      </c>
      <c r="AD17" s="142">
        <f>AD12*Parametre!AF132</f>
        <v>566851.08172773349</v>
      </c>
      <c r="AE17" s="142">
        <f>AE12*Parametre!AG132</f>
        <v>561643.16663270467</v>
      </c>
      <c r="AF17" s="142">
        <f>AF12*Parametre!AH132</f>
        <v>555395.75408514752</v>
      </c>
      <c r="AG17" s="142">
        <f>AG12*Parametre!AI132</f>
        <v>548142.96704160108</v>
      </c>
      <c r="AH17" s="142">
        <f>AH12*Parametre!AJ132</f>
        <v>539924.43196467613</v>
      </c>
      <c r="AI17" s="142">
        <f>AI12*Parametre!AK132</f>
        <v>530784.91801528737</v>
      </c>
      <c r="AJ17" s="142">
        <f>AJ12*Parametre!AL132</f>
        <v>520375.86838916678</v>
      </c>
      <c r="AK17" s="142">
        <f>AK12*Parametre!AM132</f>
        <v>508774.99627895595</v>
      </c>
      <c r="AL17" s="142">
        <f>AL12*Parametre!AN132</f>
        <v>496068.26249908656</v>
      </c>
      <c r="AM17" s="142">
        <f>AM12*Parametre!AO132</f>
        <v>482348.8094477033</v>
      </c>
      <c r="AN17" s="142">
        <f>AN12*Parametre!AP132</f>
        <v>467715.81751675211</v>
      </c>
      <c r="AO17" s="142">
        <f>AO12*Parametre!AQ132</f>
        <v>452289.93543912272</v>
      </c>
      <c r="AP17" s="142">
        <f>AP12*Parametre!AR132</f>
        <v>436177.0861961706</v>
      </c>
      <c r="AQ17" s="142">
        <f>AQ12*Parametre!AS132</f>
        <v>419485.39361178217</v>
      </c>
    </row>
    <row r="18" spans="2:43">
      <c r="B18" s="206" t="s">
        <v>482</v>
      </c>
      <c r="C18" s="207">
        <f>SUM(D18:AQ18)</f>
        <v>35096948.717510298</v>
      </c>
      <c r="D18" s="208">
        <f>SUM(D15:D17)</f>
        <v>0</v>
      </c>
      <c r="E18" s="208">
        <f t="shared" ref="E18:AQ18" si="13">SUM(E15:E17)</f>
        <v>0</v>
      </c>
      <c r="F18" s="208">
        <f t="shared" si="13"/>
        <v>0</v>
      </c>
      <c r="G18" s="208">
        <f t="shared" si="13"/>
        <v>235691.54713909174</v>
      </c>
      <c r="H18" s="208">
        <f t="shared" si="13"/>
        <v>952969.46399731515</v>
      </c>
      <c r="I18" s="208">
        <f t="shared" si="13"/>
        <v>963091.23711392912</v>
      </c>
      <c r="J18" s="208">
        <f t="shared" si="13"/>
        <v>973048.74543460389</v>
      </c>
      <c r="K18" s="208">
        <f t="shared" si="13"/>
        <v>980290.6906707976</v>
      </c>
      <c r="L18" s="208">
        <f t="shared" si="13"/>
        <v>987444.67179110122</v>
      </c>
      <c r="M18" s="208">
        <f t="shared" si="13"/>
        <v>994485.56759744417</v>
      </c>
      <c r="N18" s="208">
        <f t="shared" si="13"/>
        <v>1001354.6975053612</v>
      </c>
      <c r="O18" s="208">
        <f t="shared" si="13"/>
        <v>1008114.5867371166</v>
      </c>
      <c r="P18" s="208">
        <f t="shared" si="13"/>
        <v>1014507.3178159465</v>
      </c>
      <c r="Q18" s="208">
        <f t="shared" si="13"/>
        <v>1020225.5696501189</v>
      </c>
      <c r="R18" s="208">
        <f t="shared" si="13"/>
        <v>1025257.5390556713</v>
      </c>
      <c r="S18" s="208">
        <f t="shared" si="13"/>
        <v>1029642.0760571787</v>
      </c>
      <c r="T18" s="208">
        <f t="shared" si="13"/>
        <v>1033320.63349782</v>
      </c>
      <c r="U18" s="208">
        <f t="shared" si="13"/>
        <v>1035532.2048239068</v>
      </c>
      <c r="V18" s="208">
        <f t="shared" si="13"/>
        <v>1036809.2377360128</v>
      </c>
      <c r="W18" s="208">
        <f t="shared" si="13"/>
        <v>1037098.415064727</v>
      </c>
      <c r="X18" s="208">
        <f t="shared" si="13"/>
        <v>1036398.3872514392</v>
      </c>
      <c r="Y18" s="208">
        <f t="shared" si="13"/>
        <v>1034710.6272463094</v>
      </c>
      <c r="Z18" s="208">
        <f t="shared" si="13"/>
        <v>1031622.5941568128</v>
      </c>
      <c r="AA18" s="208">
        <f t="shared" si="13"/>
        <v>1027145.3655333896</v>
      </c>
      <c r="AB18" s="208">
        <f t="shared" si="13"/>
        <v>1021295.6395664053</v>
      </c>
      <c r="AC18" s="208">
        <f t="shared" si="13"/>
        <v>1014095.6322950986</v>
      </c>
      <c r="AD18" s="208">
        <f t="shared" si="13"/>
        <v>1005618.2127191392</v>
      </c>
      <c r="AE18" s="208">
        <f t="shared" si="13"/>
        <v>996759.51557869278</v>
      </c>
      <c r="AF18" s="208">
        <f t="shared" si="13"/>
        <v>986087.19837690995</v>
      </c>
      <c r="AG18" s="208">
        <f t="shared" si="13"/>
        <v>973614.54939377087</v>
      </c>
      <c r="AH18" s="208">
        <f t="shared" si="13"/>
        <v>959410.0626116998</v>
      </c>
      <c r="AI18" s="208">
        <f t="shared" si="13"/>
        <v>943551.53637289326</v>
      </c>
      <c r="AJ18" s="208">
        <f t="shared" si="13"/>
        <v>925417.46441680554</v>
      </c>
      <c r="AK18" s="208">
        <f t="shared" si="13"/>
        <v>905182.63070801529</v>
      </c>
      <c r="AL18" s="208">
        <f t="shared" si="13"/>
        <v>882956.63052034331</v>
      </c>
      <c r="AM18" s="208">
        <f t="shared" si="13"/>
        <v>858903.22364391573</v>
      </c>
      <c r="AN18" s="208">
        <f t="shared" si="13"/>
        <v>833197.2565317268</v>
      </c>
      <c r="AO18" s="208">
        <f t="shared" si="13"/>
        <v>806085.88461163081</v>
      </c>
      <c r="AP18" s="208">
        <f t="shared" si="13"/>
        <v>777720.18395317229</v>
      </c>
      <c r="AQ18" s="208">
        <f t="shared" si="13"/>
        <v>748291.92033398221</v>
      </c>
    </row>
    <row r="20" spans="2:43">
      <c r="B20" s="1" t="s">
        <v>1</v>
      </c>
    </row>
    <row r="21" spans="2:43">
      <c r="B21" s="1" t="s">
        <v>480</v>
      </c>
    </row>
    <row r="22" spans="2:43">
      <c r="B22" s="1" t="s">
        <v>481</v>
      </c>
    </row>
    <row r="24" spans="2:43">
      <c r="B24" s="15"/>
    </row>
  </sheetData>
  <phoneticPr fontId="7" type="noConversion"/>
  <pageMargins left="0.2421875" right="0.2421875" top="1" bottom="1" header="0.5" footer="0.5"/>
  <pageSetup paperSize="9" scale="75" orientation="landscape" r:id="rId1"/>
  <headerFooter alignWithMargins="0">
    <oddHeader>&amp;LPríloha 7: Štandardné tabuľky - Cesty
&amp;"Arial,Tučné"&amp;12 07 Ocenenie času</oddHeader>
    <oddFooter>Strana &amp;P z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AQ20"/>
  <sheetViews>
    <sheetView zoomScale="80" zoomScaleNormal="80" workbookViewId="0">
      <selection activeCell="J42" sqref="J42"/>
    </sheetView>
  </sheetViews>
  <sheetFormatPr defaultColWidth="9.140625" defaultRowHeight="11.25"/>
  <cols>
    <col min="1" max="1" width="2.7109375" style="34" customWidth="1"/>
    <col min="2" max="2" width="46.85546875" style="34" bestFit="1" customWidth="1"/>
    <col min="3" max="3" width="14.28515625" style="34" customWidth="1"/>
    <col min="4" max="4" width="13.28515625" style="34" customWidth="1"/>
    <col min="5" max="7" width="12.85546875" style="34" customWidth="1"/>
    <col min="8" max="25" width="8.7109375" style="34" customWidth="1"/>
    <col min="26" max="26" width="10.140625" style="34" customWidth="1"/>
    <col min="27" max="27" width="9.5703125" style="34" customWidth="1"/>
    <col min="28" max="36" width="8.7109375" style="34" customWidth="1"/>
    <col min="37" max="37" width="10.5703125" style="34" customWidth="1"/>
    <col min="38" max="42" width="8.7109375" style="34" customWidth="1"/>
    <col min="43" max="43" width="11.7109375" style="34" customWidth="1"/>
    <col min="44" max="44" width="5" style="34" bestFit="1" customWidth="1"/>
    <col min="45" max="16384" width="9.140625" style="34"/>
  </cols>
  <sheetData>
    <row r="2" spans="2:43" ht="12">
      <c r="B2" s="491" t="s">
        <v>807</v>
      </c>
    </row>
    <row r="4" spans="2:43">
      <c r="B4" s="40" t="s">
        <v>477</v>
      </c>
      <c r="C4" s="40"/>
      <c r="D4" s="35" t="s">
        <v>9</v>
      </c>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row>
    <row r="5" spans="2:43">
      <c r="B5" s="36"/>
      <c r="C5" s="36"/>
      <c r="D5" s="37">
        <v>1</v>
      </c>
      <c r="E5" s="37">
        <v>2</v>
      </c>
      <c r="F5" s="37">
        <v>3</v>
      </c>
      <c r="G5" s="37">
        <v>4</v>
      </c>
      <c r="H5" s="37">
        <v>5</v>
      </c>
      <c r="I5" s="37">
        <v>6</v>
      </c>
      <c r="J5" s="37">
        <v>7</v>
      </c>
      <c r="K5" s="37">
        <v>8</v>
      </c>
      <c r="L5" s="37">
        <v>9</v>
      </c>
      <c r="M5" s="37">
        <v>10</v>
      </c>
      <c r="N5" s="37">
        <v>11</v>
      </c>
      <c r="O5" s="37">
        <v>12</v>
      </c>
      <c r="P5" s="37">
        <v>13</v>
      </c>
      <c r="Q5" s="37">
        <v>14</v>
      </c>
      <c r="R5" s="37">
        <v>15</v>
      </c>
      <c r="S5" s="37">
        <v>16</v>
      </c>
      <c r="T5" s="37">
        <v>17</v>
      </c>
      <c r="U5" s="37">
        <v>18</v>
      </c>
      <c r="V5" s="37">
        <v>19</v>
      </c>
      <c r="W5" s="37">
        <v>20</v>
      </c>
      <c r="X5" s="37">
        <v>21</v>
      </c>
      <c r="Y5" s="37">
        <v>22</v>
      </c>
      <c r="Z5" s="37">
        <v>23</v>
      </c>
      <c r="AA5" s="37">
        <v>24</v>
      </c>
      <c r="AB5" s="37">
        <v>25</v>
      </c>
      <c r="AC5" s="37">
        <v>26</v>
      </c>
      <c r="AD5" s="37">
        <v>27</v>
      </c>
      <c r="AE5" s="37">
        <v>28</v>
      </c>
      <c r="AF5" s="37">
        <v>29</v>
      </c>
      <c r="AG5" s="37">
        <v>30</v>
      </c>
      <c r="AH5" s="37">
        <v>31</v>
      </c>
      <c r="AI5" s="37">
        <v>32</v>
      </c>
      <c r="AJ5" s="37">
        <v>33</v>
      </c>
      <c r="AK5" s="37">
        <v>34</v>
      </c>
      <c r="AL5" s="37">
        <v>35</v>
      </c>
      <c r="AM5" s="37">
        <v>36</v>
      </c>
      <c r="AN5" s="37">
        <v>37</v>
      </c>
      <c r="AO5" s="37">
        <v>38</v>
      </c>
      <c r="AP5" s="37">
        <v>39</v>
      </c>
      <c r="AQ5" s="37">
        <v>40</v>
      </c>
    </row>
    <row r="6" spans="2:43" ht="22.5">
      <c r="B6" s="38" t="s">
        <v>50</v>
      </c>
      <c r="C6" s="42" t="s">
        <v>44</v>
      </c>
      <c r="D6" s="39">
        <f>Parametre!C13</f>
        <v>2024</v>
      </c>
      <c r="E6" s="39">
        <f>$D$6+D5</f>
        <v>2025</v>
      </c>
      <c r="F6" s="39">
        <f>$D$6+E5</f>
        <v>2026</v>
      </c>
      <c r="G6" s="39">
        <f t="shared" ref="G6:AF6" si="0">$D$6+F5</f>
        <v>2027</v>
      </c>
      <c r="H6" s="39">
        <f t="shared" si="0"/>
        <v>2028</v>
      </c>
      <c r="I6" s="39">
        <f t="shared" si="0"/>
        <v>2029</v>
      </c>
      <c r="J6" s="39">
        <f t="shared" si="0"/>
        <v>2030</v>
      </c>
      <c r="K6" s="39">
        <f t="shared" si="0"/>
        <v>2031</v>
      </c>
      <c r="L6" s="39">
        <f t="shared" si="0"/>
        <v>2032</v>
      </c>
      <c r="M6" s="39">
        <f t="shared" si="0"/>
        <v>2033</v>
      </c>
      <c r="N6" s="39">
        <f t="shared" si="0"/>
        <v>2034</v>
      </c>
      <c r="O6" s="39">
        <f t="shared" si="0"/>
        <v>2035</v>
      </c>
      <c r="P6" s="39">
        <f t="shared" si="0"/>
        <v>2036</v>
      </c>
      <c r="Q6" s="39">
        <f t="shared" si="0"/>
        <v>2037</v>
      </c>
      <c r="R6" s="39">
        <f t="shared" si="0"/>
        <v>2038</v>
      </c>
      <c r="S6" s="39">
        <f t="shared" si="0"/>
        <v>2039</v>
      </c>
      <c r="T6" s="39">
        <f t="shared" si="0"/>
        <v>2040</v>
      </c>
      <c r="U6" s="39">
        <f t="shared" si="0"/>
        <v>2041</v>
      </c>
      <c r="V6" s="39">
        <f t="shared" si="0"/>
        <v>2042</v>
      </c>
      <c r="W6" s="39">
        <f t="shared" si="0"/>
        <v>2043</v>
      </c>
      <c r="X6" s="39">
        <f t="shared" si="0"/>
        <v>2044</v>
      </c>
      <c r="Y6" s="39">
        <f t="shared" si="0"/>
        <v>2045</v>
      </c>
      <c r="Z6" s="39">
        <f t="shared" si="0"/>
        <v>2046</v>
      </c>
      <c r="AA6" s="39">
        <f t="shared" si="0"/>
        <v>2047</v>
      </c>
      <c r="AB6" s="39">
        <f t="shared" si="0"/>
        <v>2048</v>
      </c>
      <c r="AC6" s="39">
        <f t="shared" si="0"/>
        <v>2049</v>
      </c>
      <c r="AD6" s="39">
        <f t="shared" si="0"/>
        <v>2050</v>
      </c>
      <c r="AE6" s="39">
        <f t="shared" si="0"/>
        <v>2051</v>
      </c>
      <c r="AF6" s="39">
        <f t="shared" si="0"/>
        <v>2052</v>
      </c>
      <c r="AG6" s="39">
        <f t="shared" ref="AG6" si="1">$D$6+AF5</f>
        <v>2053</v>
      </c>
      <c r="AH6" s="39">
        <f t="shared" ref="AH6" si="2">$D$6+AG5</f>
        <v>2054</v>
      </c>
      <c r="AI6" s="39">
        <f t="shared" ref="AI6" si="3">$D$6+AH5</f>
        <v>2055</v>
      </c>
      <c r="AJ6" s="39">
        <f t="shared" ref="AJ6" si="4">$D$6+AI5</f>
        <v>2056</v>
      </c>
      <c r="AK6" s="39">
        <f t="shared" ref="AK6" si="5">$D$6+AJ5</f>
        <v>2057</v>
      </c>
      <c r="AL6" s="39">
        <f t="shared" ref="AL6" si="6">$D$6+AK5</f>
        <v>2058</v>
      </c>
      <c r="AM6" s="39">
        <f t="shared" ref="AM6" si="7">$D$6+AL5</f>
        <v>2059</v>
      </c>
      <c r="AN6" s="39">
        <f t="shared" ref="AN6" si="8">$D$6+AM5</f>
        <v>2060</v>
      </c>
      <c r="AO6" s="39">
        <f t="shared" ref="AO6" si="9">$D$6+AN5</f>
        <v>2061</v>
      </c>
      <c r="AP6" s="39">
        <f t="shared" ref="AP6" si="10">$D$6+AO5</f>
        <v>2062</v>
      </c>
      <c r="AQ6" s="39">
        <f t="shared" ref="AQ6" si="11">$D$6+AP5</f>
        <v>2063</v>
      </c>
    </row>
    <row r="7" spans="2:43">
      <c r="B7" s="35" t="s">
        <v>13</v>
      </c>
      <c r="C7" s="41">
        <f>D7+NPV(Parametre!$C$10,E7:AQ7)</f>
        <v>-27829772.741788831</v>
      </c>
      <c r="D7" s="41">
        <f>-'01 Investičné výdavky'!D68</f>
        <v>-1335928.7629656706</v>
      </c>
      <c r="E7" s="41">
        <f>-'01 Investičné výdavky'!E68</f>
        <v>-8367132.778574463</v>
      </c>
      <c r="F7" s="41">
        <f>-'01 Investičné výdavky'!F68</f>
        <v>-7031204.0156087922</v>
      </c>
      <c r="G7" s="41">
        <f>-'01 Investičné výdavky'!G68</f>
        <v>-14062408.031217584</v>
      </c>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row>
    <row r="8" spans="2:43">
      <c r="B8" s="35" t="s">
        <v>11</v>
      </c>
      <c r="C8" s="41">
        <f>D8+NPV(Parametre!$C$10,E8:AQ8)</f>
        <v>22503059.541691829</v>
      </c>
      <c r="D8" s="41">
        <f>-'03 Prevádzkové výdavky'!D49</f>
        <v>0</v>
      </c>
      <c r="E8" s="41">
        <f>-'03 Prevádzkové výdavky'!E49</f>
        <v>0</v>
      </c>
      <c r="F8" s="41">
        <f>-'03 Prevádzkové výdavky'!F49</f>
        <v>0</v>
      </c>
      <c r="G8" s="41">
        <f>-'03 Prevádzkové výdavky'!G49</f>
        <v>501099.8492252049</v>
      </c>
      <c r="H8" s="41">
        <f>-'03 Prevádzkové výdavky'!H49</f>
        <v>1726889.8081298408</v>
      </c>
      <c r="I8" s="41">
        <f>-'03 Prevádzkové výdavky'!I49</f>
        <v>1726889.8081298408</v>
      </c>
      <c r="J8" s="41">
        <f>-'03 Prevádzkové výdavky'!J49</f>
        <v>1726889.8081298408</v>
      </c>
      <c r="K8" s="41">
        <f>-'03 Prevádzkové výdavky'!K49</f>
        <v>1726889.8081298408</v>
      </c>
      <c r="L8" s="41">
        <f>-'03 Prevádzkové výdavky'!L49</f>
        <v>1726889.8081298408</v>
      </c>
      <c r="M8" s="41">
        <f>-'03 Prevádzkové výdavky'!M49</f>
        <v>1726889.8081298408</v>
      </c>
      <c r="N8" s="41">
        <f>-'03 Prevádzkové výdavky'!N49</f>
        <v>1726889.8081298408</v>
      </c>
      <c r="O8" s="41">
        <f>-'03 Prevádzkové výdavky'!O49</f>
        <v>1726889.8081298408</v>
      </c>
      <c r="P8" s="41">
        <f>-'03 Prevádzkové výdavky'!P49</f>
        <v>1726889.8081298408</v>
      </c>
      <c r="Q8" s="41">
        <f>-'03 Prevádzkové výdavky'!Q49</f>
        <v>1726889.8081298408</v>
      </c>
      <c r="R8" s="41">
        <f>-'03 Prevádzkové výdavky'!R49</f>
        <v>1726889.8081298408</v>
      </c>
      <c r="S8" s="41">
        <f>-'03 Prevádzkové výdavky'!S49</f>
        <v>1726889.8081298408</v>
      </c>
      <c r="T8" s="41">
        <f>-'03 Prevádzkové výdavky'!T49</f>
        <v>1726889.8081298408</v>
      </c>
      <c r="U8" s="41">
        <f>-'03 Prevádzkové výdavky'!U49</f>
        <v>1726889.8081298408</v>
      </c>
      <c r="V8" s="41">
        <f>-'03 Prevádzkové výdavky'!V49</f>
        <v>1726889.8081298408</v>
      </c>
      <c r="W8" s="41">
        <f>-'03 Prevádzkové výdavky'!W49</f>
        <v>1726889.8081298408</v>
      </c>
      <c r="X8" s="41">
        <f>-'03 Prevádzkové výdavky'!X49</f>
        <v>1726889.8081298408</v>
      </c>
      <c r="Y8" s="41">
        <f>-'03 Prevádzkové výdavky'!Y49</f>
        <v>1726889.8081298408</v>
      </c>
      <c r="Z8" s="41">
        <f>-'03 Prevádzkové výdavky'!Z49</f>
        <v>1726889.8081298408</v>
      </c>
      <c r="AA8" s="41">
        <f>-'03 Prevádzkové výdavky'!AA49</f>
        <v>-4549744.2797853872</v>
      </c>
      <c r="AB8" s="41">
        <f>-'03 Prevádzkové výdavky'!AB49</f>
        <v>1726889.8081298408</v>
      </c>
      <c r="AC8" s="41">
        <f>-'03 Prevádzkové výdavky'!AC49</f>
        <v>1726889.8081298408</v>
      </c>
      <c r="AD8" s="41">
        <f>-'03 Prevádzkové výdavky'!AD49</f>
        <v>1726889.8081298408</v>
      </c>
      <c r="AE8" s="41">
        <f>-'03 Prevádzkové výdavky'!AE49</f>
        <v>1726889.8081298408</v>
      </c>
      <c r="AF8" s="41">
        <f>-'03 Prevádzkové výdavky'!AF49</f>
        <v>1726889.8081298408</v>
      </c>
      <c r="AG8" s="41">
        <f>-'03 Prevádzkové výdavky'!AG49</f>
        <v>1726889.8081298408</v>
      </c>
      <c r="AH8" s="41">
        <f>-'03 Prevádzkové výdavky'!AH49</f>
        <v>1726889.8081298408</v>
      </c>
      <c r="AI8" s="41">
        <f>-'03 Prevádzkové výdavky'!AI49</f>
        <v>1726889.8081298408</v>
      </c>
      <c r="AJ8" s="41">
        <f>-'03 Prevádzkové výdavky'!AJ49</f>
        <v>1726889.8081298408</v>
      </c>
      <c r="AK8" s="41">
        <f>-'03 Prevádzkové výdavky'!AK49</f>
        <v>-1125539.1816842116</v>
      </c>
      <c r="AL8" s="41">
        <f>-'03 Prevádzkové výdavky'!AL49</f>
        <v>1726889.8081298408</v>
      </c>
      <c r="AM8" s="41">
        <f>-'03 Prevádzkové výdavky'!AM49</f>
        <v>1726889.8081298408</v>
      </c>
      <c r="AN8" s="41">
        <f>-'03 Prevádzkové výdavky'!AN49</f>
        <v>1726889.8081298408</v>
      </c>
      <c r="AO8" s="41">
        <f>-'03 Prevádzkové výdavky'!AO49</f>
        <v>1726889.8081298408</v>
      </c>
      <c r="AP8" s="41">
        <f>-'03 Prevádzkové výdavky'!AP49</f>
        <v>1726889.8081298408</v>
      </c>
      <c r="AQ8" s="41">
        <f>-'03 Prevádzkové výdavky'!AQ49</f>
        <v>1726889.8081298408</v>
      </c>
    </row>
    <row r="9" spans="2:43">
      <c r="B9" s="35" t="s">
        <v>290</v>
      </c>
      <c r="C9" s="41">
        <f>D9+NPV(Parametre!$C$10,E9:AQ9)</f>
        <v>14305760.380899798</v>
      </c>
      <c r="D9" s="41">
        <f>'07 Čas cestujúcich'!D18</f>
        <v>0</v>
      </c>
      <c r="E9" s="41">
        <f>'07 Čas cestujúcich'!E18</f>
        <v>0</v>
      </c>
      <c r="F9" s="41">
        <f>'07 Čas cestujúcich'!F18</f>
        <v>0</v>
      </c>
      <c r="G9" s="41">
        <f>'07 Čas cestujúcich'!G18</f>
        <v>235691.54713909174</v>
      </c>
      <c r="H9" s="41">
        <f>'07 Čas cestujúcich'!H18</f>
        <v>952969.46399731515</v>
      </c>
      <c r="I9" s="41">
        <f>'07 Čas cestujúcich'!I18</f>
        <v>963091.23711392912</v>
      </c>
      <c r="J9" s="41">
        <f>'07 Čas cestujúcich'!J18</f>
        <v>973048.74543460389</v>
      </c>
      <c r="K9" s="41">
        <f>'07 Čas cestujúcich'!K18</f>
        <v>980290.6906707976</v>
      </c>
      <c r="L9" s="41">
        <f>'07 Čas cestujúcich'!L18</f>
        <v>987444.67179110122</v>
      </c>
      <c r="M9" s="41">
        <f>'07 Čas cestujúcich'!M18</f>
        <v>994485.56759744417</v>
      </c>
      <c r="N9" s="41">
        <f>'07 Čas cestujúcich'!N18</f>
        <v>1001354.6975053612</v>
      </c>
      <c r="O9" s="41">
        <f>'07 Čas cestujúcich'!O18</f>
        <v>1008114.5867371166</v>
      </c>
      <c r="P9" s="41">
        <f>'07 Čas cestujúcich'!P18</f>
        <v>1014507.3178159465</v>
      </c>
      <c r="Q9" s="41">
        <f>'07 Čas cestujúcich'!Q18</f>
        <v>1020225.5696501189</v>
      </c>
      <c r="R9" s="41">
        <f>'07 Čas cestujúcich'!R18</f>
        <v>1025257.5390556713</v>
      </c>
      <c r="S9" s="41">
        <f>'07 Čas cestujúcich'!S18</f>
        <v>1029642.0760571787</v>
      </c>
      <c r="T9" s="41">
        <f>'07 Čas cestujúcich'!T18</f>
        <v>1033320.63349782</v>
      </c>
      <c r="U9" s="41">
        <f>'07 Čas cestujúcich'!U18</f>
        <v>1035532.2048239068</v>
      </c>
      <c r="V9" s="41">
        <f>'07 Čas cestujúcich'!V18</f>
        <v>1036809.2377360128</v>
      </c>
      <c r="W9" s="41">
        <f>'07 Čas cestujúcich'!W18</f>
        <v>1037098.415064727</v>
      </c>
      <c r="X9" s="41">
        <f>'07 Čas cestujúcich'!X18</f>
        <v>1036398.3872514392</v>
      </c>
      <c r="Y9" s="41">
        <f>'07 Čas cestujúcich'!Y18</f>
        <v>1034710.6272463094</v>
      </c>
      <c r="Z9" s="41">
        <f>'07 Čas cestujúcich'!Z18</f>
        <v>1031622.5941568128</v>
      </c>
      <c r="AA9" s="41">
        <f>'07 Čas cestujúcich'!AA18</f>
        <v>1027145.3655333896</v>
      </c>
      <c r="AB9" s="41">
        <f>'07 Čas cestujúcich'!AB18</f>
        <v>1021295.6395664053</v>
      </c>
      <c r="AC9" s="41">
        <f>'07 Čas cestujúcich'!AC18</f>
        <v>1014095.6322950986</v>
      </c>
      <c r="AD9" s="41">
        <f>'07 Čas cestujúcich'!AD18</f>
        <v>1005618.2127191392</v>
      </c>
      <c r="AE9" s="41">
        <f>'07 Čas cestujúcich'!AE18</f>
        <v>996759.51557869278</v>
      </c>
      <c r="AF9" s="41">
        <f>'07 Čas cestujúcich'!AF18</f>
        <v>986087.19837690995</v>
      </c>
      <c r="AG9" s="41">
        <f>'07 Čas cestujúcich'!AG18</f>
        <v>973614.54939377087</v>
      </c>
      <c r="AH9" s="41">
        <f>'07 Čas cestujúcich'!AH18</f>
        <v>959410.0626116998</v>
      </c>
      <c r="AI9" s="41">
        <f>'07 Čas cestujúcich'!AI18</f>
        <v>943551.53637289326</v>
      </c>
      <c r="AJ9" s="41">
        <f>'07 Čas cestujúcich'!AJ18</f>
        <v>925417.46441680554</v>
      </c>
      <c r="AK9" s="41">
        <f>'07 Čas cestujúcich'!AK18</f>
        <v>905182.63070801529</v>
      </c>
      <c r="AL9" s="41">
        <f>'07 Čas cestujúcich'!AL18</f>
        <v>882956.63052034331</v>
      </c>
      <c r="AM9" s="41">
        <f>'07 Čas cestujúcich'!AM18</f>
        <v>858903.22364391573</v>
      </c>
      <c r="AN9" s="41">
        <f>'07 Čas cestujúcich'!AN18</f>
        <v>833197.2565317268</v>
      </c>
      <c r="AO9" s="41">
        <f>'07 Čas cestujúcich'!AO18</f>
        <v>806085.88461163081</v>
      </c>
      <c r="AP9" s="41">
        <f>'07 Čas cestujúcich'!AP18</f>
        <v>777720.18395317229</v>
      </c>
      <c r="AQ9" s="41">
        <f>'07 Čas cestujúcich'!AQ18</f>
        <v>748291.92033398221</v>
      </c>
    </row>
    <row r="10" spans="2:43">
      <c r="B10" s="35" t="s">
        <v>291</v>
      </c>
      <c r="C10" s="41">
        <f>D10+NPV(Parametre!$C$10,E10:AQ10)</f>
        <v>0</v>
      </c>
      <c r="D10" s="41">
        <v>0</v>
      </c>
      <c r="E10" s="41">
        <v>0</v>
      </c>
      <c r="F10" s="41">
        <v>0</v>
      </c>
      <c r="G10" s="41">
        <v>0</v>
      </c>
      <c r="H10" s="41">
        <v>0</v>
      </c>
      <c r="I10" s="41">
        <v>0</v>
      </c>
      <c r="J10" s="41">
        <v>0</v>
      </c>
      <c r="K10" s="41">
        <v>0</v>
      </c>
      <c r="L10" s="41">
        <v>0</v>
      </c>
      <c r="M10" s="41">
        <v>0</v>
      </c>
      <c r="N10" s="41">
        <v>0</v>
      </c>
      <c r="O10" s="41">
        <v>0</v>
      </c>
      <c r="P10" s="41">
        <v>0</v>
      </c>
      <c r="Q10" s="41">
        <v>0</v>
      </c>
      <c r="R10" s="41">
        <v>0</v>
      </c>
      <c r="S10" s="41">
        <v>0</v>
      </c>
      <c r="T10" s="41">
        <v>0</v>
      </c>
      <c r="U10" s="41">
        <v>0</v>
      </c>
      <c r="V10" s="41">
        <v>0</v>
      </c>
      <c r="W10" s="41">
        <v>0</v>
      </c>
      <c r="X10" s="41">
        <v>0</v>
      </c>
      <c r="Y10" s="41">
        <v>0</v>
      </c>
      <c r="Z10" s="41">
        <v>0</v>
      </c>
      <c r="AA10" s="41">
        <v>0</v>
      </c>
      <c r="AB10" s="41">
        <v>0</v>
      </c>
      <c r="AC10" s="41">
        <v>0</v>
      </c>
      <c r="AD10" s="41">
        <v>0</v>
      </c>
      <c r="AE10" s="41">
        <v>0</v>
      </c>
      <c r="AF10" s="41">
        <v>0</v>
      </c>
      <c r="AG10" s="41">
        <v>0</v>
      </c>
      <c r="AH10" s="41">
        <v>0</v>
      </c>
      <c r="AI10" s="41">
        <v>0</v>
      </c>
      <c r="AJ10" s="41">
        <v>0</v>
      </c>
      <c r="AK10" s="41">
        <v>0</v>
      </c>
      <c r="AL10" s="41">
        <v>0</v>
      </c>
      <c r="AM10" s="41">
        <v>0</v>
      </c>
      <c r="AN10" s="41">
        <v>0</v>
      </c>
      <c r="AO10" s="41">
        <v>0</v>
      </c>
      <c r="AP10" s="41">
        <v>0</v>
      </c>
      <c r="AQ10" s="41">
        <v>0</v>
      </c>
    </row>
    <row r="11" spans="2:43">
      <c r="B11" s="35" t="s">
        <v>476</v>
      </c>
      <c r="C11" s="41">
        <f>D11+NPV(Parametre!$C$10,E11:AQ11)</f>
        <v>0</v>
      </c>
      <c r="D11" s="41">
        <v>0</v>
      </c>
      <c r="E11" s="41">
        <v>0</v>
      </c>
      <c r="F11" s="41">
        <v>0</v>
      </c>
      <c r="G11" s="41">
        <v>0</v>
      </c>
      <c r="H11" s="41">
        <v>0</v>
      </c>
      <c r="I11" s="41">
        <v>0</v>
      </c>
      <c r="J11" s="41">
        <v>0</v>
      </c>
      <c r="K11" s="41">
        <v>0</v>
      </c>
      <c r="L11" s="41">
        <v>0</v>
      </c>
      <c r="M11" s="41">
        <v>0</v>
      </c>
      <c r="N11" s="41">
        <v>0</v>
      </c>
      <c r="O11" s="41">
        <v>0</v>
      </c>
      <c r="P11" s="41">
        <v>0</v>
      </c>
      <c r="Q11" s="41">
        <v>0</v>
      </c>
      <c r="R11" s="41">
        <v>0</v>
      </c>
      <c r="S11" s="41">
        <v>0</v>
      </c>
      <c r="T11" s="41">
        <v>0</v>
      </c>
      <c r="U11" s="41">
        <v>0</v>
      </c>
      <c r="V11" s="41">
        <v>0</v>
      </c>
      <c r="W11" s="41">
        <v>0</v>
      </c>
      <c r="X11" s="41">
        <v>0</v>
      </c>
      <c r="Y11" s="41">
        <v>0</v>
      </c>
      <c r="Z11" s="41">
        <v>0</v>
      </c>
      <c r="AA11" s="41">
        <v>0</v>
      </c>
      <c r="AB11" s="41">
        <v>0</v>
      </c>
      <c r="AC11" s="41">
        <v>0</v>
      </c>
      <c r="AD11" s="41">
        <v>0</v>
      </c>
      <c r="AE11" s="41">
        <v>0</v>
      </c>
      <c r="AF11" s="41">
        <v>0</v>
      </c>
      <c r="AG11" s="41">
        <v>0</v>
      </c>
      <c r="AH11" s="41">
        <v>0</v>
      </c>
      <c r="AI11" s="41">
        <v>0</v>
      </c>
      <c r="AJ11" s="41">
        <v>0</v>
      </c>
      <c r="AK11" s="41">
        <v>0</v>
      </c>
      <c r="AL11" s="41">
        <v>0</v>
      </c>
      <c r="AM11" s="41">
        <v>0</v>
      </c>
      <c r="AN11" s="41">
        <v>0</v>
      </c>
      <c r="AO11" s="41">
        <v>0</v>
      </c>
      <c r="AP11" s="41">
        <v>0</v>
      </c>
      <c r="AQ11" s="41">
        <v>0</v>
      </c>
    </row>
    <row r="12" spans="2:43">
      <c r="B12" s="35" t="s">
        <v>292</v>
      </c>
      <c r="C12" s="41">
        <f>D12+NPV(Parametre!$C$10,E12:AQ12)</f>
        <v>0</v>
      </c>
      <c r="D12" s="41">
        <v>0</v>
      </c>
      <c r="E12" s="41">
        <v>0</v>
      </c>
      <c r="F12" s="41">
        <v>0</v>
      </c>
      <c r="G12" s="41">
        <v>0</v>
      </c>
      <c r="H12" s="41">
        <v>0</v>
      </c>
      <c r="I12" s="41">
        <v>0</v>
      </c>
      <c r="J12" s="41">
        <v>0</v>
      </c>
      <c r="K12" s="41">
        <v>0</v>
      </c>
      <c r="L12" s="41">
        <v>0</v>
      </c>
      <c r="M12" s="41">
        <v>0</v>
      </c>
      <c r="N12" s="41">
        <v>0</v>
      </c>
      <c r="O12" s="41">
        <v>0</v>
      </c>
      <c r="P12" s="41">
        <v>0</v>
      </c>
      <c r="Q12" s="41">
        <v>0</v>
      </c>
      <c r="R12" s="41">
        <v>0</v>
      </c>
      <c r="S12" s="41">
        <v>0</v>
      </c>
      <c r="T12" s="41">
        <v>0</v>
      </c>
      <c r="U12" s="41">
        <v>0</v>
      </c>
      <c r="V12" s="41">
        <v>0</v>
      </c>
      <c r="W12" s="41">
        <v>0</v>
      </c>
      <c r="X12" s="41">
        <v>0</v>
      </c>
      <c r="Y12" s="41">
        <v>0</v>
      </c>
      <c r="Z12" s="41">
        <v>0</v>
      </c>
      <c r="AA12" s="41">
        <v>0</v>
      </c>
      <c r="AB12" s="41">
        <v>0</v>
      </c>
      <c r="AC12" s="41">
        <v>0</v>
      </c>
      <c r="AD12" s="41">
        <v>0</v>
      </c>
      <c r="AE12" s="41">
        <v>0</v>
      </c>
      <c r="AF12" s="41">
        <v>0</v>
      </c>
      <c r="AG12" s="41">
        <v>0</v>
      </c>
      <c r="AH12" s="41">
        <v>0</v>
      </c>
      <c r="AI12" s="41">
        <v>0</v>
      </c>
      <c r="AJ12" s="41">
        <v>0</v>
      </c>
      <c r="AK12" s="41">
        <v>0</v>
      </c>
      <c r="AL12" s="41">
        <v>0</v>
      </c>
      <c r="AM12" s="41">
        <v>0</v>
      </c>
      <c r="AN12" s="41">
        <v>0</v>
      </c>
      <c r="AO12" s="41">
        <v>0</v>
      </c>
      <c r="AP12" s="41">
        <v>0</v>
      </c>
      <c r="AQ12" s="41">
        <v>0</v>
      </c>
    </row>
    <row r="13" spans="2:43">
      <c r="B13" s="35" t="s">
        <v>293</v>
      </c>
      <c r="C13" s="41">
        <f>D13+NPV(Parametre!$C$10,E13:AQ13)</f>
        <v>0</v>
      </c>
      <c r="D13" s="41">
        <v>0</v>
      </c>
      <c r="E13" s="41">
        <v>0</v>
      </c>
      <c r="F13" s="41">
        <v>0</v>
      </c>
      <c r="G13" s="41">
        <v>0</v>
      </c>
      <c r="H13" s="41">
        <v>0</v>
      </c>
      <c r="I13" s="41">
        <v>0</v>
      </c>
      <c r="J13" s="41">
        <v>0</v>
      </c>
      <c r="K13" s="41">
        <v>0</v>
      </c>
      <c r="L13" s="41">
        <v>0</v>
      </c>
      <c r="M13" s="41">
        <v>0</v>
      </c>
      <c r="N13" s="41">
        <v>0</v>
      </c>
      <c r="O13" s="41">
        <v>0</v>
      </c>
      <c r="P13" s="41">
        <v>0</v>
      </c>
      <c r="Q13" s="41">
        <v>0</v>
      </c>
      <c r="R13" s="41">
        <v>0</v>
      </c>
      <c r="S13" s="41">
        <v>0</v>
      </c>
      <c r="T13" s="41">
        <v>0</v>
      </c>
      <c r="U13" s="41">
        <v>0</v>
      </c>
      <c r="V13" s="41">
        <v>0</v>
      </c>
      <c r="W13" s="41">
        <v>0</v>
      </c>
      <c r="X13" s="41">
        <v>0</v>
      </c>
      <c r="Y13" s="41">
        <v>0</v>
      </c>
      <c r="Z13" s="41">
        <v>0</v>
      </c>
      <c r="AA13" s="41">
        <v>0</v>
      </c>
      <c r="AB13" s="41">
        <v>0</v>
      </c>
      <c r="AC13" s="41">
        <v>0</v>
      </c>
      <c r="AD13" s="41">
        <v>0</v>
      </c>
      <c r="AE13" s="41">
        <v>0</v>
      </c>
      <c r="AF13" s="41">
        <v>0</v>
      </c>
      <c r="AG13" s="41">
        <v>0</v>
      </c>
      <c r="AH13" s="41">
        <v>0</v>
      </c>
      <c r="AI13" s="41">
        <v>0</v>
      </c>
      <c r="AJ13" s="41">
        <v>0</v>
      </c>
      <c r="AK13" s="41">
        <v>0</v>
      </c>
      <c r="AL13" s="41">
        <v>0</v>
      </c>
      <c r="AM13" s="41">
        <v>0</v>
      </c>
      <c r="AN13" s="41">
        <v>0</v>
      </c>
      <c r="AO13" s="41">
        <v>0</v>
      </c>
      <c r="AP13" s="41">
        <v>0</v>
      </c>
      <c r="AQ13" s="41">
        <v>0</v>
      </c>
    </row>
    <row r="14" spans="2:43">
      <c r="B14" s="35" t="s">
        <v>294</v>
      </c>
      <c r="C14" s="41">
        <f>D14+NPV(Parametre!$C$10,E14:AQ14)</f>
        <v>0</v>
      </c>
      <c r="D14" s="41">
        <v>0</v>
      </c>
      <c r="E14" s="41">
        <v>0</v>
      </c>
      <c r="F14" s="41">
        <v>0</v>
      </c>
      <c r="G14" s="41">
        <v>0</v>
      </c>
      <c r="H14" s="41">
        <v>0</v>
      </c>
      <c r="I14" s="41">
        <v>0</v>
      </c>
      <c r="J14" s="41">
        <v>0</v>
      </c>
      <c r="K14" s="41">
        <v>0</v>
      </c>
      <c r="L14" s="41">
        <v>0</v>
      </c>
      <c r="M14" s="41">
        <v>0</v>
      </c>
      <c r="N14" s="41">
        <v>0</v>
      </c>
      <c r="O14" s="41">
        <v>0</v>
      </c>
      <c r="P14" s="41">
        <v>0</v>
      </c>
      <c r="Q14" s="41">
        <v>0</v>
      </c>
      <c r="R14" s="41">
        <v>0</v>
      </c>
      <c r="S14" s="41">
        <v>0</v>
      </c>
      <c r="T14" s="41">
        <v>0</v>
      </c>
      <c r="U14" s="41">
        <v>0</v>
      </c>
      <c r="V14" s="41">
        <v>0</v>
      </c>
      <c r="W14" s="41">
        <v>0</v>
      </c>
      <c r="X14" s="41">
        <v>0</v>
      </c>
      <c r="Y14" s="41">
        <v>0</v>
      </c>
      <c r="Z14" s="41">
        <v>0</v>
      </c>
      <c r="AA14" s="41">
        <v>0</v>
      </c>
      <c r="AB14" s="41">
        <v>0</v>
      </c>
      <c r="AC14" s="41">
        <v>0</v>
      </c>
      <c r="AD14" s="41">
        <v>0</v>
      </c>
      <c r="AE14" s="41">
        <v>0</v>
      </c>
      <c r="AF14" s="41">
        <v>0</v>
      </c>
      <c r="AG14" s="41">
        <v>0</v>
      </c>
      <c r="AH14" s="41">
        <v>0</v>
      </c>
      <c r="AI14" s="41">
        <v>0</v>
      </c>
      <c r="AJ14" s="41">
        <v>0</v>
      </c>
      <c r="AK14" s="41">
        <v>0</v>
      </c>
      <c r="AL14" s="41">
        <v>0</v>
      </c>
      <c r="AM14" s="41">
        <v>0</v>
      </c>
      <c r="AN14" s="41">
        <v>0</v>
      </c>
      <c r="AO14" s="41">
        <v>0</v>
      </c>
      <c r="AP14" s="41">
        <v>0</v>
      </c>
      <c r="AQ14" s="41">
        <v>0</v>
      </c>
    </row>
    <row r="15" spans="2:43">
      <c r="B15" s="35" t="s">
        <v>15</v>
      </c>
      <c r="C15" s="41">
        <f>D15+NPV(Parametre!$C$10,E15:AQ15)</f>
        <v>1099159.4737600854</v>
      </c>
      <c r="D15" s="41">
        <v>0</v>
      </c>
      <c r="E15" s="41">
        <v>0</v>
      </c>
      <c r="F15" s="41">
        <v>0</v>
      </c>
      <c r="G15" s="41">
        <v>0</v>
      </c>
      <c r="H15" s="41">
        <v>0</v>
      </c>
      <c r="I15" s="41">
        <v>0</v>
      </c>
      <c r="J15" s="41">
        <v>0</v>
      </c>
      <c r="K15" s="41">
        <v>0</v>
      </c>
      <c r="L15" s="41">
        <v>0</v>
      </c>
      <c r="M15" s="41">
        <v>0</v>
      </c>
      <c r="N15" s="41">
        <v>0</v>
      </c>
      <c r="O15" s="41">
        <v>0</v>
      </c>
      <c r="P15" s="41">
        <v>0</v>
      </c>
      <c r="Q15" s="41">
        <v>0</v>
      </c>
      <c r="R15" s="41">
        <v>0</v>
      </c>
      <c r="S15" s="41">
        <v>0</v>
      </c>
      <c r="T15" s="41">
        <v>0</v>
      </c>
      <c r="U15" s="41">
        <v>0</v>
      </c>
      <c r="V15" s="41">
        <v>0</v>
      </c>
      <c r="W15" s="41">
        <v>0</v>
      </c>
      <c r="X15" s="41">
        <v>0</v>
      </c>
      <c r="Y15" s="41">
        <v>0</v>
      </c>
      <c r="Z15" s="41">
        <v>0</v>
      </c>
      <c r="AA15" s="41">
        <v>0</v>
      </c>
      <c r="AB15" s="41">
        <v>0</v>
      </c>
      <c r="AC15" s="41">
        <v>0</v>
      </c>
      <c r="AD15" s="41">
        <v>0</v>
      </c>
      <c r="AE15" s="41">
        <v>0</v>
      </c>
      <c r="AF15" s="41">
        <v>0</v>
      </c>
      <c r="AG15" s="41">
        <v>0</v>
      </c>
      <c r="AH15" s="41">
        <v>0</v>
      </c>
      <c r="AI15" s="41">
        <v>0</v>
      </c>
      <c r="AJ15" s="41">
        <v>0</v>
      </c>
      <c r="AK15" s="41">
        <v>0</v>
      </c>
      <c r="AL15" s="41">
        <v>0</v>
      </c>
      <c r="AM15" s="41">
        <v>0</v>
      </c>
      <c r="AN15" s="41">
        <v>0</v>
      </c>
      <c r="AO15" s="41">
        <v>0</v>
      </c>
      <c r="AP15" s="41">
        <v>0</v>
      </c>
      <c r="AQ15" s="147">
        <f>'02 Zostatková hodnota'!I22</f>
        <v>7369590.750567507</v>
      </c>
    </row>
    <row r="16" spans="2:43">
      <c r="B16" s="212" t="s">
        <v>51</v>
      </c>
      <c r="C16" s="210">
        <f>D16+NPV(Parametre!$C$10,E16:AQ16)</f>
        <v>10078206.654562874</v>
      </c>
      <c r="D16" s="316">
        <f>SUM(D7:D15)</f>
        <v>-1335928.7629656706</v>
      </c>
      <c r="E16" s="316">
        <f t="shared" ref="E16:AQ16" si="12">SUM(E7:E15)</f>
        <v>-8367132.778574463</v>
      </c>
      <c r="F16" s="316">
        <f t="shared" si="12"/>
        <v>-7031204.0156087922</v>
      </c>
      <c r="G16" s="316">
        <f t="shared" si="12"/>
        <v>-13325616.634853289</v>
      </c>
      <c r="H16" s="316">
        <f t="shared" si="12"/>
        <v>2679859.2721271561</v>
      </c>
      <c r="I16" s="316">
        <f t="shared" si="12"/>
        <v>2689981.0452437699</v>
      </c>
      <c r="J16" s="316">
        <f t="shared" si="12"/>
        <v>2699938.5535644446</v>
      </c>
      <c r="K16" s="316">
        <f t="shared" si="12"/>
        <v>2707180.4988006381</v>
      </c>
      <c r="L16" s="316">
        <f t="shared" si="12"/>
        <v>2714334.4799209419</v>
      </c>
      <c r="M16" s="316">
        <f t="shared" si="12"/>
        <v>2721375.3757272847</v>
      </c>
      <c r="N16" s="316">
        <f t="shared" si="12"/>
        <v>2728244.5056352019</v>
      </c>
      <c r="O16" s="316">
        <f t="shared" si="12"/>
        <v>2735004.3948669573</v>
      </c>
      <c r="P16" s="316">
        <f t="shared" si="12"/>
        <v>2741397.1259457874</v>
      </c>
      <c r="Q16" s="316">
        <f t="shared" si="12"/>
        <v>2747115.3777799597</v>
      </c>
      <c r="R16" s="316">
        <f t="shared" si="12"/>
        <v>2752147.3471855121</v>
      </c>
      <c r="S16" s="316">
        <f t="shared" si="12"/>
        <v>2756531.8841870194</v>
      </c>
      <c r="T16" s="316">
        <f t="shared" si="12"/>
        <v>2760210.4416276608</v>
      </c>
      <c r="U16" s="316">
        <f t="shared" si="12"/>
        <v>2762422.0129537475</v>
      </c>
      <c r="V16" s="316">
        <f t="shared" si="12"/>
        <v>2763699.0458658533</v>
      </c>
      <c r="W16" s="316">
        <f t="shared" si="12"/>
        <v>2763988.2231945675</v>
      </c>
      <c r="X16" s="316">
        <f t="shared" si="12"/>
        <v>2763288.19538128</v>
      </c>
      <c r="Y16" s="316">
        <f t="shared" si="12"/>
        <v>2761600.4353761501</v>
      </c>
      <c r="Z16" s="316">
        <f t="shared" si="12"/>
        <v>2758512.4022866534</v>
      </c>
      <c r="AA16" s="316">
        <f t="shared" si="12"/>
        <v>-3522598.9142519976</v>
      </c>
      <c r="AB16" s="316">
        <f t="shared" si="12"/>
        <v>2748185.4476962462</v>
      </c>
      <c r="AC16" s="316">
        <f t="shared" si="12"/>
        <v>2740985.4404249396</v>
      </c>
      <c r="AD16" s="316">
        <f t="shared" si="12"/>
        <v>2732508.0208489802</v>
      </c>
      <c r="AE16" s="316">
        <f t="shared" si="12"/>
        <v>2723649.3237085333</v>
      </c>
      <c r="AF16" s="316">
        <f t="shared" si="12"/>
        <v>2712977.0065067508</v>
      </c>
      <c r="AG16" s="316">
        <f t="shared" si="12"/>
        <v>2700504.3575236117</v>
      </c>
      <c r="AH16" s="316">
        <f t="shared" si="12"/>
        <v>2686299.8707415406</v>
      </c>
      <c r="AI16" s="316">
        <f t="shared" si="12"/>
        <v>2670441.344502734</v>
      </c>
      <c r="AJ16" s="316">
        <f t="shared" si="12"/>
        <v>2652307.2725466462</v>
      </c>
      <c r="AK16" s="316">
        <f t="shared" si="12"/>
        <v>-220356.5509761963</v>
      </c>
      <c r="AL16" s="316">
        <f t="shared" si="12"/>
        <v>2609846.4386501843</v>
      </c>
      <c r="AM16" s="316">
        <f t="shared" si="12"/>
        <v>2585793.0317737563</v>
      </c>
      <c r="AN16" s="316">
        <f t="shared" si="12"/>
        <v>2560087.0646615676</v>
      </c>
      <c r="AO16" s="316">
        <f t="shared" si="12"/>
        <v>2532975.6927414713</v>
      </c>
      <c r="AP16" s="316">
        <f t="shared" si="12"/>
        <v>2504609.9920830131</v>
      </c>
      <c r="AQ16" s="316">
        <f t="shared" si="12"/>
        <v>9844772.47903133</v>
      </c>
    </row>
    <row r="18" spans="2:4">
      <c r="B18" s="43" t="s">
        <v>52</v>
      </c>
      <c r="C18" s="313">
        <f>D16+NPV(Parametre!$C$10,E16:AQ16)</f>
        <v>10078206.654562874</v>
      </c>
      <c r="D18" s="34" t="s">
        <v>0</v>
      </c>
    </row>
    <row r="19" spans="2:4">
      <c r="B19" s="43" t="s">
        <v>53</v>
      </c>
      <c r="C19" s="314">
        <f>IRR(D16:AQ16,10)</f>
        <v>7.5210108788235086E-2</v>
      </c>
    </row>
    <row r="20" spans="2:4">
      <c r="B20" s="43" t="s">
        <v>588</v>
      </c>
      <c r="C20" s="315">
        <f>(+C8+C9+C10+C11+C12+C13+C14+C15)/(-C7)</f>
        <v>1.3621375836616003</v>
      </c>
    </row>
  </sheetData>
  <conditionalFormatting sqref="C19">
    <cfRule type="cellIs" dxfId="0" priority="1" operator="lessThan">
      <formula>0</formula>
    </cfRule>
  </conditionalFormatting>
  <pageMargins left="0.19687499999999999" right="0.19687499999999999" top="1" bottom="1" header="0.5" footer="0.5"/>
  <pageSetup scale="75" orientation="landscape" r:id="rId1"/>
  <headerFooter alignWithMargins="0">
    <oddHeader>&amp;LPríloha 7: Štandardné tabuľky - Cesty
&amp;"Arial,Tučné"&amp;12 11 Ekonomická analýza</oddHeader>
    <oddFooter>Strana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FF"/>
  </sheetPr>
  <dimension ref="B1:O79"/>
  <sheetViews>
    <sheetView zoomScale="65" zoomScaleNormal="65" workbookViewId="0">
      <selection activeCell="G78" sqref="G78:K78"/>
    </sheetView>
  </sheetViews>
  <sheetFormatPr defaultColWidth="9.140625" defaultRowHeight="12.75"/>
  <cols>
    <col min="1" max="1" width="1.28515625" style="672" customWidth="1"/>
    <col min="2" max="2" width="67.140625" style="672" bestFit="1" customWidth="1"/>
    <col min="3" max="5" width="21.7109375" style="672" customWidth="1"/>
    <col min="6" max="6" width="2.42578125" style="672" customWidth="1"/>
    <col min="7" max="7" width="67.140625" style="672" bestFit="1" customWidth="1"/>
    <col min="8" max="10" width="21.7109375" style="672" customWidth="1"/>
    <col min="11" max="11" width="2.42578125" style="672" customWidth="1"/>
    <col min="12" max="12" width="67.140625" style="672" bestFit="1" customWidth="1"/>
    <col min="13" max="15" width="21.7109375" style="672" customWidth="1"/>
    <col min="16" max="16" width="4.7109375" style="672" customWidth="1"/>
    <col min="17" max="16384" width="9.140625" style="672"/>
  </cols>
  <sheetData>
    <row r="1" spans="2:15" ht="13.5" thickBot="1"/>
    <row r="2" spans="2:15" ht="27.75" customHeight="1" thickBot="1">
      <c r="B2" s="673" t="s">
        <v>844</v>
      </c>
      <c r="C2" s="674" t="s">
        <v>845</v>
      </c>
      <c r="D2" s="675" t="s">
        <v>846</v>
      </c>
      <c r="E2" s="676" t="s">
        <v>847</v>
      </c>
      <c r="G2" s="673" t="s">
        <v>844</v>
      </c>
      <c r="H2" s="677">
        <v>-0.05</v>
      </c>
      <c r="I2" s="678">
        <v>0</v>
      </c>
      <c r="J2" s="679">
        <v>0.05</v>
      </c>
      <c r="L2" s="673" t="s">
        <v>844</v>
      </c>
      <c r="M2" s="680">
        <v>-0.1</v>
      </c>
      <c r="N2" s="678">
        <v>0</v>
      </c>
      <c r="O2" s="681">
        <v>0.1</v>
      </c>
    </row>
    <row r="3" spans="2:15">
      <c r="B3" s="682" t="s">
        <v>74</v>
      </c>
      <c r="C3" s="683">
        <v>-397961.46047872421</v>
      </c>
      <c r="D3" s="683">
        <f>'06 Finančná analýza'!$C$13</f>
        <v>-713332.81196636613</v>
      </c>
      <c r="E3" s="684">
        <v>-1028704.1634540146</v>
      </c>
      <c r="G3" s="682" t="str">
        <f>B3</f>
        <v>Investičné výdavky</v>
      </c>
      <c r="H3" s="683">
        <v>863523.94547184417</v>
      </c>
      <c r="I3" s="683">
        <f>'06 Finančná analýza'!$C$13</f>
        <v>-713332.81196636613</v>
      </c>
      <c r="J3" s="684">
        <v>-2290189.5694045741</v>
      </c>
      <c r="L3" s="682" t="str">
        <f>B3</f>
        <v>Investičné výdavky</v>
      </c>
      <c r="M3" s="683">
        <v>2440380.702910048</v>
      </c>
      <c r="N3" s="683">
        <f>'06 Finančná analýza'!$C$13</f>
        <v>-713332.81196636613</v>
      </c>
      <c r="O3" s="684">
        <v>-3867046.3268427779</v>
      </c>
    </row>
    <row r="4" spans="2:15">
      <c r="B4" s="685" t="s">
        <v>959</v>
      </c>
      <c r="C4" s="686">
        <v>-996628.56589106633</v>
      </c>
      <c r="D4" s="686">
        <f>'06 Finančná analýza'!$C$13</f>
        <v>-713332.81196636613</v>
      </c>
      <c r="E4" s="687">
        <v>-430037.0580416685</v>
      </c>
      <c r="G4" s="685" t="str">
        <f>B4</f>
        <v>Prevádzkové výdavky – mzdové výdavky</v>
      </c>
      <c r="H4" s="686">
        <v>-2129811.5815898427</v>
      </c>
      <c r="I4" s="686">
        <f>'06 Finančná analýza'!$C$13</f>
        <v>-713332.81196636613</v>
      </c>
      <c r="J4" s="687">
        <v>703145.95765712089</v>
      </c>
      <c r="L4" s="685" t="str">
        <f>B4</f>
        <v>Prevádzkové výdavky – mzdové výdavky</v>
      </c>
      <c r="M4" s="686">
        <v>-3546290.3512133318</v>
      </c>
      <c r="N4" s="686">
        <f>'06 Finančná analýza'!$C$13</f>
        <v>-713332.81196636613</v>
      </c>
      <c r="O4" s="687">
        <v>2119624.7272806102</v>
      </c>
    </row>
    <row r="5" spans="2:15">
      <c r="B5" s="685" t="s">
        <v>957</v>
      </c>
      <c r="C5" s="686">
        <v>-720537.24565773678</v>
      </c>
      <c r="D5" s="686">
        <f>'06 Finančná analýza'!$C$13</f>
        <v>-713332.81196636613</v>
      </c>
      <c r="E5" s="687">
        <v>-706128.37827499432</v>
      </c>
      <c r="G5" s="685" t="str">
        <f>B5</f>
        <v>Prevádzkové výdavky – bežné a pravidelné výdavky</v>
      </c>
      <c r="H5" s="686">
        <v>-749354.98042320681</v>
      </c>
      <c r="I5" s="686">
        <f>'06 Finančná analýza'!$C$13</f>
        <v>-713332.81196636613</v>
      </c>
      <c r="J5" s="687">
        <v>-677310.64350952022</v>
      </c>
      <c r="L5" s="685" t="str">
        <f>B5</f>
        <v>Prevádzkové výdavky – bežné a pravidelné výdavky</v>
      </c>
      <c r="M5" s="686">
        <v>-785377.14888002351</v>
      </c>
      <c r="N5" s="686">
        <f>'06 Finančná analýza'!$C$13</f>
        <v>-713332.81196636613</v>
      </c>
      <c r="O5" s="687">
        <v>-641288.47505270888</v>
      </c>
    </row>
    <row r="6" spans="2:15">
      <c r="B6" s="685" t="s">
        <v>255</v>
      </c>
      <c r="C6" s="686">
        <v>-713332.81196636963</v>
      </c>
      <c r="D6" s="686">
        <f>'06 Finančná analýza'!$C$13</f>
        <v>-713332.81196636613</v>
      </c>
      <c r="E6" s="687">
        <v>-713332.81196636963</v>
      </c>
      <c r="G6" s="685" t="str">
        <f>B6</f>
        <v>Prevádzkové príjmy</v>
      </c>
      <c r="H6" s="686">
        <v>-713332.81196636963</v>
      </c>
      <c r="I6" s="686">
        <f>'06 Finančná analýza'!$C$13</f>
        <v>-713332.81196636613</v>
      </c>
      <c r="J6" s="687">
        <v>-713332.81196636963</v>
      </c>
      <c r="L6" s="685" t="str">
        <f>B6</f>
        <v>Prevádzkové príjmy</v>
      </c>
      <c r="M6" s="686">
        <v>-713332.81196636963</v>
      </c>
      <c r="N6" s="686">
        <f>'06 Finančná analýza'!$C$13</f>
        <v>-713332.81196636613</v>
      </c>
      <c r="O6" s="687">
        <v>-713332.81196636963</v>
      </c>
    </row>
    <row r="7" spans="2:15" ht="13.5" thickBot="1">
      <c r="B7" s="688" t="s">
        <v>15</v>
      </c>
      <c r="C7" s="689">
        <v>-731070.6477182837</v>
      </c>
      <c r="D7" s="689">
        <f>'06 Finančná analýza'!$C$13</f>
        <v>-713332.81196636613</v>
      </c>
      <c r="E7" s="690">
        <v>-695594.97621445567</v>
      </c>
      <c r="G7" s="688" t="str">
        <f>B7</f>
        <v>Zostatková hodnota</v>
      </c>
      <c r="H7" s="689">
        <v>-802021.99072593939</v>
      </c>
      <c r="I7" s="689">
        <f>'06 Finančná analýza'!$C$13</f>
        <v>-713332.81196636613</v>
      </c>
      <c r="J7" s="690">
        <v>-624643.63320679939</v>
      </c>
      <c r="L7" s="688" t="str">
        <f>B7</f>
        <v>Zostatková hodnota</v>
      </c>
      <c r="M7" s="689">
        <v>-890711.16948550893</v>
      </c>
      <c r="N7" s="689">
        <f>'06 Finančná analýza'!$C$13</f>
        <v>-713332.81196636613</v>
      </c>
      <c r="O7" s="690">
        <v>-535954.45444723009</v>
      </c>
    </row>
    <row r="9" spans="2:15" ht="13.5" thickBot="1"/>
    <row r="10" spans="2:15" ht="27.75" customHeight="1" thickBot="1">
      <c r="B10" s="691" t="s">
        <v>848</v>
      </c>
      <c r="C10" s="674" t="s">
        <v>845</v>
      </c>
      <c r="D10" s="692" t="s">
        <v>846</v>
      </c>
      <c r="E10" s="676" t="s">
        <v>847</v>
      </c>
      <c r="G10" s="691" t="s">
        <v>848</v>
      </c>
      <c r="H10" s="677">
        <v>-0.05</v>
      </c>
      <c r="I10" s="693">
        <v>0</v>
      </c>
      <c r="J10" s="679">
        <v>0.05</v>
      </c>
      <c r="L10" s="691" t="s">
        <v>848</v>
      </c>
      <c r="M10" s="680">
        <v>-0.1</v>
      </c>
      <c r="N10" s="678">
        <v>0</v>
      </c>
      <c r="O10" s="681">
        <v>0.1</v>
      </c>
    </row>
    <row r="11" spans="2:15">
      <c r="B11" s="682" t="s">
        <v>849</v>
      </c>
      <c r="C11" s="694">
        <f>1-C3/D3</f>
        <v>0.44210969437714831</v>
      </c>
      <c r="D11" s="694">
        <f>D3/D3-1</f>
        <v>0</v>
      </c>
      <c r="E11" s="849">
        <f>1-E3/D3</f>
        <v>-0.44210969437715741</v>
      </c>
      <c r="G11" s="682" t="str">
        <f>B11</f>
        <v>Investičné výdavky - zmena v %</v>
      </c>
      <c r="H11" s="694">
        <f>1-H3/I3</f>
        <v>2.2105484718857422</v>
      </c>
      <c r="I11" s="694">
        <f>I3/I3-1</f>
        <v>0</v>
      </c>
      <c r="J11" s="849">
        <f>1-J3/I3</f>
        <v>-2.2105484718857391</v>
      </c>
      <c r="L11" s="682" t="str">
        <f>B11</f>
        <v>Investičné výdavky - zmena v %</v>
      </c>
      <c r="M11" s="694">
        <f>1-M3/N3</f>
        <v>4.4210969437714756</v>
      </c>
      <c r="N11" s="694">
        <f>N3/N3-1</f>
        <v>0</v>
      </c>
      <c r="O11" s="849">
        <f>1-O3/N3</f>
        <v>-4.4210969437714729</v>
      </c>
    </row>
    <row r="12" spans="2:15">
      <c r="B12" s="685" t="s">
        <v>958</v>
      </c>
      <c r="C12" s="695">
        <f>1-C4/D4</f>
        <v>-0.39714387053606859</v>
      </c>
      <c r="D12" s="695">
        <f>D4/D4-1</f>
        <v>0</v>
      </c>
      <c r="E12" s="850">
        <f>1-E4/D4</f>
        <v>0.39714387053606492</v>
      </c>
      <c r="G12" s="685" t="str">
        <f>B12</f>
        <v>Prevádzkové výdavky – mzdové výdavky - zmena v %</v>
      </c>
      <c r="H12" s="695">
        <f>1-H4/I4</f>
        <v>-1.9857193526803081</v>
      </c>
      <c r="I12" s="695">
        <f>I4/I4-1</f>
        <v>0</v>
      </c>
      <c r="J12" s="850">
        <f>1-J4/I4</f>
        <v>1.9857193526803227</v>
      </c>
      <c r="L12" s="685" t="str">
        <f>B12</f>
        <v>Prevádzkové výdavky – mzdové výdavky - zmena v %</v>
      </c>
      <c r="M12" s="695">
        <f>1-M4/N4</f>
        <v>-3.9714387053606339</v>
      </c>
      <c r="N12" s="695">
        <f>N4/N4-1</f>
        <v>0</v>
      </c>
      <c r="O12" s="850">
        <f>1-O4/N4</f>
        <v>3.971438705360649</v>
      </c>
    </row>
    <row r="13" spans="2:15">
      <c r="B13" s="685" t="s">
        <v>960</v>
      </c>
      <c r="C13" s="695">
        <f>1-C5/D5</f>
        <v>-1.0099680780855991E-2</v>
      </c>
      <c r="D13" s="695">
        <f>D5/D5-1</f>
        <v>0</v>
      </c>
      <c r="E13" s="850">
        <f>1-E5/D5</f>
        <v>1.0099680780857545E-2</v>
      </c>
      <c r="G13" s="685" t="str">
        <f>B13</f>
        <v>Prevádzkové výdavky – bežné a pravidelné výdavky - zmena v %</v>
      </c>
      <c r="H13" s="695">
        <f>1-H5/I5</f>
        <v>-5.049840390426219E-2</v>
      </c>
      <c r="I13" s="695">
        <f>I5/I5-1</f>
        <v>0</v>
      </c>
      <c r="J13" s="850">
        <f>1-J5/I5</f>
        <v>5.0498403904269518E-2</v>
      </c>
      <c r="L13" s="685" t="str">
        <f>B13</f>
        <v>Prevádzkové výdavky – bežné a pravidelné výdavky - zmena v %</v>
      </c>
      <c r="M13" s="695">
        <f>1-M5/N5</f>
        <v>-0.10099680780849085</v>
      </c>
      <c r="N13" s="695">
        <f>N5/N5-1</f>
        <v>0</v>
      </c>
      <c r="O13" s="850">
        <f>1-O5/N5</f>
        <v>0.10099680780849063</v>
      </c>
    </row>
    <row r="14" spans="2:15">
      <c r="B14" s="685" t="s">
        <v>850</v>
      </c>
      <c r="C14" s="695">
        <f>1-C6/D6</f>
        <v>-4.8849813083506888E-15</v>
      </c>
      <c r="D14" s="695">
        <f>D6/D6-1</f>
        <v>0</v>
      </c>
      <c r="E14" s="850">
        <f>1-E6/D6</f>
        <v>-4.8849813083506888E-15</v>
      </c>
      <c r="G14" s="685" t="str">
        <f>B14</f>
        <v>Prevádzkové príjmy - zmena v %</v>
      </c>
      <c r="H14" s="695">
        <f>1-H6/I6</f>
        <v>-4.8849813083506888E-15</v>
      </c>
      <c r="I14" s="695">
        <f>I6/I6-1</f>
        <v>0</v>
      </c>
      <c r="J14" s="850">
        <f>1-J6/I6</f>
        <v>-4.8849813083506888E-15</v>
      </c>
      <c r="L14" s="685" t="str">
        <f>B14</f>
        <v>Prevádzkové príjmy - zmena v %</v>
      </c>
      <c r="M14" s="695">
        <f>1-M6/N6</f>
        <v>-4.8849813083506888E-15</v>
      </c>
      <c r="N14" s="695">
        <f>N6/N6-1</f>
        <v>0</v>
      </c>
      <c r="O14" s="850">
        <f>1-O6/N6</f>
        <v>-4.8849813083506888E-15</v>
      </c>
    </row>
    <row r="15" spans="2:15" ht="13.5" thickBot="1">
      <c r="B15" s="688" t="s">
        <v>851</v>
      </c>
      <c r="C15" s="696">
        <f t="shared" ref="C15" si="0">1-C7/D7</f>
        <v>-2.4866143060238155E-2</v>
      </c>
      <c r="D15" s="696">
        <f t="shared" ref="D15" si="1">D7/D7-1</f>
        <v>0</v>
      </c>
      <c r="E15" s="851">
        <f t="shared" ref="E15" si="2">1-E7/D7</f>
        <v>2.4866143060228163E-2</v>
      </c>
      <c r="G15" s="688" t="str">
        <f>B15</f>
        <v>Zostatková hodnota - zmena v %</v>
      </c>
      <c r="H15" s="696">
        <f t="shared" ref="H15" si="3">1-H7/I7</f>
        <v>-0.1243307153011699</v>
      </c>
      <c r="I15" s="696">
        <f t="shared" ref="I15" si="4">I7/I7-1</f>
        <v>0</v>
      </c>
      <c r="J15" s="851">
        <f t="shared" ref="J15" si="5">1-J7/I7</f>
        <v>0.1243307153011608</v>
      </c>
      <c r="L15" s="688" t="str">
        <f>B15</f>
        <v>Zostatková hodnota - zmena v %</v>
      </c>
      <c r="M15" s="696">
        <f t="shared" ref="M15" si="6">1-M7/N7</f>
        <v>-0.2486614306023347</v>
      </c>
      <c r="N15" s="696">
        <f t="shared" ref="N15" si="7">N7/N7-1</f>
        <v>0</v>
      </c>
      <c r="O15" s="851">
        <f t="shared" ref="O15" si="8">1-O7/N7</f>
        <v>0.24866143060232515</v>
      </c>
    </row>
    <row r="72" spans="2:15" ht="13.5" thickBot="1"/>
    <row r="73" spans="2:15" ht="32.25" customHeight="1" thickBot="1">
      <c r="B73" s="697"/>
      <c r="C73" s="1027" t="s">
        <v>852</v>
      </c>
      <c r="D73" s="1028"/>
      <c r="E73" s="1028"/>
      <c r="F73" s="1029"/>
      <c r="G73" s="1030" t="s">
        <v>853</v>
      </c>
      <c r="H73" s="1028"/>
      <c r="I73" s="1028"/>
      <c r="J73" s="1028"/>
      <c r="K73" s="1031"/>
      <c r="L73" s="1032" t="s">
        <v>854</v>
      </c>
      <c r="M73" s="1028"/>
      <c r="N73" s="1028"/>
      <c r="O73" s="1031"/>
    </row>
    <row r="74" spans="2:15" s="698" customFormat="1" ht="36" customHeight="1">
      <c r="B74" s="848" t="str">
        <f>B3</f>
        <v>Investičné výdavky</v>
      </c>
      <c r="C74" s="1033" t="s">
        <v>855</v>
      </c>
      <c r="D74" s="1033"/>
      <c r="E74" s="1033"/>
      <c r="F74" s="1034"/>
      <c r="G74" s="1035">
        <v>-2.2045992750992321E-2</v>
      </c>
      <c r="H74" s="1036"/>
      <c r="I74" s="1036"/>
      <c r="J74" s="1036"/>
      <c r="K74" s="1037"/>
      <c r="L74" s="1038" t="s">
        <v>1027</v>
      </c>
      <c r="M74" s="1039"/>
      <c r="N74" s="1039"/>
      <c r="O74" s="1040"/>
    </row>
    <row r="75" spans="2:15" s="698" customFormat="1" ht="36" customHeight="1">
      <c r="B75" s="846" t="str">
        <f t="shared" ref="B75:B78" si="9">B4</f>
        <v>Prevádzkové výdavky – mzdové výdavky</v>
      </c>
      <c r="C75" s="1019" t="s">
        <v>855</v>
      </c>
      <c r="D75" s="1019"/>
      <c r="E75" s="1019"/>
      <c r="F75" s="1020"/>
      <c r="G75" s="1021">
        <v>2.599999999999909E-2</v>
      </c>
      <c r="H75" s="1022"/>
      <c r="I75" s="1022"/>
      <c r="J75" s="1022"/>
      <c r="K75" s="1023"/>
      <c r="L75" s="1024" t="s">
        <v>1012</v>
      </c>
      <c r="M75" s="1025"/>
      <c r="N75" s="1025"/>
      <c r="O75" s="1026"/>
    </row>
    <row r="76" spans="2:15" s="698" customFormat="1" ht="36" customHeight="1">
      <c r="B76" s="846" t="str">
        <f t="shared" si="9"/>
        <v>Prevádzkové výdavky – bežné a pravidelné výdavky</v>
      </c>
      <c r="C76" s="1019" t="s">
        <v>855</v>
      </c>
      <c r="D76" s="1019"/>
      <c r="E76" s="1019"/>
      <c r="F76" s="1020"/>
      <c r="G76" s="1021">
        <v>0.99099999999999788</v>
      </c>
      <c r="H76" s="1022"/>
      <c r="I76" s="1022"/>
      <c r="J76" s="1022"/>
      <c r="K76" s="1023"/>
      <c r="L76" s="1024" t="s">
        <v>1013</v>
      </c>
      <c r="M76" s="1025"/>
      <c r="N76" s="1025"/>
      <c r="O76" s="1026"/>
    </row>
    <row r="77" spans="2:15" s="698" customFormat="1" ht="36" customHeight="1">
      <c r="B77" s="846" t="str">
        <f t="shared" si="9"/>
        <v>Prevádzkové príjmy</v>
      </c>
      <c r="C77" s="1019" t="s">
        <v>856</v>
      </c>
      <c r="D77" s="1019"/>
      <c r="E77" s="1019"/>
      <c r="F77" s="1020"/>
      <c r="G77" s="1021" t="s">
        <v>857</v>
      </c>
      <c r="H77" s="1022"/>
      <c r="I77" s="1022"/>
      <c r="J77" s="1022"/>
      <c r="K77" s="1023"/>
      <c r="L77" s="1024" t="s">
        <v>858</v>
      </c>
      <c r="M77" s="1025"/>
      <c r="N77" s="1025"/>
      <c r="O77" s="1026"/>
    </row>
    <row r="78" spans="2:15" s="698" customFormat="1" ht="36" customHeight="1" thickBot="1">
      <c r="B78" s="847" t="str">
        <f t="shared" si="9"/>
        <v>Zostatková hodnota</v>
      </c>
      <c r="C78" s="1011" t="s">
        <v>855</v>
      </c>
      <c r="D78" s="1011"/>
      <c r="E78" s="1011"/>
      <c r="F78" s="1012"/>
      <c r="G78" s="1013">
        <v>0.40215324008195269</v>
      </c>
      <c r="H78" s="1014"/>
      <c r="I78" s="1014"/>
      <c r="J78" s="1014"/>
      <c r="K78" s="1015"/>
      <c r="L78" s="1016" t="s">
        <v>1011</v>
      </c>
      <c r="M78" s="1017"/>
      <c r="N78" s="1017"/>
      <c r="O78" s="1018"/>
    </row>
    <row r="79" spans="2:15">
      <c r="B79" s="699"/>
      <c r="C79" s="699"/>
      <c r="D79" s="699"/>
      <c r="E79" s="699"/>
      <c r="F79" s="699"/>
      <c r="G79" s="699"/>
      <c r="H79" s="699"/>
      <c r="I79" s="699"/>
      <c r="J79" s="699"/>
      <c r="K79" s="699"/>
      <c r="L79" s="699"/>
      <c r="M79" s="699"/>
      <c r="N79" s="699"/>
      <c r="O79" s="699"/>
    </row>
  </sheetData>
  <mergeCells count="18">
    <mergeCell ref="C73:F73"/>
    <mergeCell ref="G73:K73"/>
    <mergeCell ref="L73:O73"/>
    <mergeCell ref="C74:F74"/>
    <mergeCell ref="G74:K74"/>
    <mergeCell ref="L74:O74"/>
    <mergeCell ref="C78:F78"/>
    <mergeCell ref="G78:K78"/>
    <mergeCell ref="L78:O78"/>
    <mergeCell ref="C75:F75"/>
    <mergeCell ref="G75:K75"/>
    <mergeCell ref="L75:O75"/>
    <mergeCell ref="C77:F77"/>
    <mergeCell ref="G77:K77"/>
    <mergeCell ref="L77:O77"/>
    <mergeCell ref="C76:F76"/>
    <mergeCell ref="G76:K76"/>
    <mergeCell ref="L76:O76"/>
  </mergeCells>
  <pageMargins left="0.7" right="0.7" top="0.75" bottom="0.75" header="0.3" footer="0.3"/>
  <pageSetup paperSize="8" scale="48"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FF"/>
    <pageSetUpPr fitToPage="1"/>
  </sheetPr>
  <dimension ref="B1:O83"/>
  <sheetViews>
    <sheetView zoomScale="65" zoomScaleNormal="65" workbookViewId="0">
      <selection activeCell="M12" sqref="M12"/>
    </sheetView>
  </sheetViews>
  <sheetFormatPr defaultColWidth="9.140625" defaultRowHeight="12.75"/>
  <cols>
    <col min="1" max="1" width="1.28515625" style="672" customWidth="1"/>
    <col min="2" max="2" width="67.140625" style="672" bestFit="1" customWidth="1"/>
    <col min="3" max="5" width="21.7109375" style="672" customWidth="1"/>
    <col min="6" max="6" width="2.42578125" style="672" customWidth="1"/>
    <col min="7" max="7" width="67.140625" style="672" bestFit="1" customWidth="1"/>
    <col min="8" max="10" width="21.7109375" style="672" customWidth="1"/>
    <col min="11" max="11" width="2.42578125" style="672" customWidth="1"/>
    <col min="12" max="12" width="67.140625" style="672" bestFit="1" customWidth="1"/>
    <col min="13" max="15" width="21.7109375" style="672" customWidth="1"/>
    <col min="16" max="16" width="4.7109375" style="672" customWidth="1"/>
    <col min="17" max="16384" width="9.140625" style="672"/>
  </cols>
  <sheetData>
    <row r="1" spans="2:15" ht="13.5" thickBot="1"/>
    <row r="2" spans="2:15" ht="27.75" customHeight="1" thickBot="1">
      <c r="B2" s="673" t="s">
        <v>844</v>
      </c>
      <c r="C2" s="674" t="s">
        <v>845</v>
      </c>
      <c r="D2" s="675" t="s">
        <v>846</v>
      </c>
      <c r="E2" s="676" t="s">
        <v>847</v>
      </c>
      <c r="G2" s="673" t="s">
        <v>844</v>
      </c>
      <c r="H2" s="677">
        <v>-0.05</v>
      </c>
      <c r="I2" s="678">
        <v>0</v>
      </c>
      <c r="J2" s="679">
        <v>0.05</v>
      </c>
      <c r="L2" s="673" t="s">
        <v>844</v>
      </c>
      <c r="M2" s="680">
        <v>-0.1</v>
      </c>
      <c r="N2" s="678">
        <v>0</v>
      </c>
      <c r="O2" s="681">
        <v>0.1</v>
      </c>
    </row>
    <row r="3" spans="2:15">
      <c r="B3" s="682" t="s">
        <v>13</v>
      </c>
      <c r="C3" s="683">
        <v>10356504.381980766</v>
      </c>
      <c r="D3" s="683">
        <f>'08 Ekonomická analýza'!$C$18</f>
        <v>10078206.654562874</v>
      </c>
      <c r="E3" s="684">
        <v>9799908.9271449856</v>
      </c>
      <c r="G3" s="682" t="str">
        <f t="shared" ref="G3:G8" si="0">B3</f>
        <v>Investičné náklady</v>
      </c>
      <c r="H3" s="683">
        <v>11469695.291652316</v>
      </c>
      <c r="I3" s="683">
        <f>'08 Ekonomická analýza'!$C$18</f>
        <v>10078206.654562874</v>
      </c>
      <c r="J3" s="684">
        <v>8686718.0174734313</v>
      </c>
      <c r="L3" s="682" t="str">
        <f t="shared" ref="L3:L8" si="1">B3</f>
        <v>Investičné náklady</v>
      </c>
      <c r="M3" s="683">
        <v>12861183.928741753</v>
      </c>
      <c r="N3" s="683">
        <f>'08 Ekonomická analýza'!$C$18</f>
        <v>10078206.654562874</v>
      </c>
      <c r="O3" s="684">
        <v>7295229.380383986</v>
      </c>
    </row>
    <row r="4" spans="2:15">
      <c r="B4" s="685" t="s">
        <v>961</v>
      </c>
      <c r="C4" s="686">
        <v>9860963.8729081806</v>
      </c>
      <c r="D4" s="686">
        <f>'08 Ekonomická analýza'!$C$18</f>
        <v>10078206.654562874</v>
      </c>
      <c r="E4" s="687">
        <v>10295449.436217682</v>
      </c>
      <c r="G4" s="685" t="str">
        <f t="shared" si="0"/>
        <v>Prevádzkové náklady - mzdové náklady</v>
      </c>
      <c r="H4" s="686">
        <v>8991992.7462892029</v>
      </c>
      <c r="I4" s="686">
        <f>'08 Ekonomická analýza'!$C$18</f>
        <v>10078206.654562874</v>
      </c>
      <c r="J4" s="687">
        <v>11164420.562836662</v>
      </c>
      <c r="L4" s="685" t="str">
        <f t="shared" si="1"/>
        <v>Prevádzkové náklady - mzdové náklady</v>
      </c>
      <c r="M4" s="686">
        <v>7905778.8380154846</v>
      </c>
      <c r="N4" s="686">
        <f>'08 Ekonomická analýza'!$C$18</f>
        <v>10078206.654562874</v>
      </c>
      <c r="O4" s="687">
        <v>12250634.471110396</v>
      </c>
    </row>
    <row r="5" spans="2:15">
      <c r="B5" s="685" t="s">
        <v>963</v>
      </c>
      <c r="C5" s="686">
        <v>10070418.840800758</v>
      </c>
      <c r="D5" s="686">
        <f>'08 Ekonomická analýza'!$C$18</f>
        <v>10078206.654562874</v>
      </c>
      <c r="E5" s="687">
        <v>10085994.468325105</v>
      </c>
      <c r="G5" s="685" t="str">
        <f t="shared" si="0"/>
        <v>Prevádzkové náklady – bežné a pravidelné náklady</v>
      </c>
      <c r="H5" s="686">
        <v>10039267.585752057</v>
      </c>
      <c r="I5" s="686">
        <f>'08 Ekonomická analýza'!$C$18</f>
        <v>10078206.654562874</v>
      </c>
      <c r="J5" s="687">
        <v>10117145.723373804</v>
      </c>
      <c r="L5" s="685" t="str">
        <f t="shared" si="1"/>
        <v>Prevádzkové náklady – bežné a pravidelné náklady</v>
      </c>
      <c r="M5" s="686">
        <v>10000328.51694121</v>
      </c>
      <c r="N5" s="686">
        <f>'08 Ekonomická analýza'!$C$18</f>
        <v>10078206.654562874</v>
      </c>
      <c r="O5" s="687">
        <v>10156084.792184649</v>
      </c>
    </row>
    <row r="6" spans="2:15">
      <c r="B6" s="685" t="s">
        <v>952</v>
      </c>
      <c r="C6" s="686">
        <v>9935149.0507539287</v>
      </c>
      <c r="D6" s="686">
        <f>'08 Ekonomická analýza'!$C$18</f>
        <v>10078206.654562874</v>
      </c>
      <c r="E6" s="687">
        <v>10221264.258371927</v>
      </c>
      <c r="G6" s="685" t="str">
        <f t="shared" si="0"/>
        <v xml:space="preserve">Úspora času </v>
      </c>
      <c r="H6" s="686">
        <v>9362918.6355179437</v>
      </c>
      <c r="I6" s="686">
        <f>'08 Ekonomická analýza'!$C$18</f>
        <v>10078206.654562874</v>
      </c>
      <c r="J6" s="687">
        <v>10793494.673607923</v>
      </c>
      <c r="L6" s="685" t="str">
        <f t="shared" si="1"/>
        <v xml:space="preserve">Úspora času </v>
      </c>
      <c r="M6" s="686">
        <v>8647630.6164729483</v>
      </c>
      <c r="N6" s="686">
        <f>'08 Ekonomická analýza'!$C$18</f>
        <v>10078206.654562874</v>
      </c>
      <c r="O6" s="687">
        <v>11508782.692652924</v>
      </c>
    </row>
    <row r="7" spans="2:15">
      <c r="B7" s="700" t="s">
        <v>859</v>
      </c>
      <c r="C7" s="701">
        <v>9935149.0507539306</v>
      </c>
      <c r="D7" s="686">
        <f>'08 Ekonomická analýza'!$C$18</f>
        <v>10078206.654562874</v>
      </c>
      <c r="E7" s="702">
        <v>10221264.258371929</v>
      </c>
      <c r="G7" s="700" t="str">
        <f t="shared" si="0"/>
        <v>Počet cestujúcich</v>
      </c>
      <c r="H7" s="701">
        <v>9362918.6355179437</v>
      </c>
      <c r="I7" s="686">
        <f>'08 Ekonomická analýza'!$C$18</f>
        <v>10078206.654562874</v>
      </c>
      <c r="J7" s="702">
        <v>10793494.673607925</v>
      </c>
      <c r="L7" s="700" t="str">
        <f t="shared" si="1"/>
        <v>Počet cestujúcich</v>
      </c>
      <c r="M7" s="701">
        <v>8647630.616472939</v>
      </c>
      <c r="N7" s="686">
        <f>'08 Ekonomická analýza'!$C$18</f>
        <v>10078206.654562874</v>
      </c>
      <c r="O7" s="702">
        <v>11508782.692652924</v>
      </c>
    </row>
    <row r="8" spans="2:15" ht="13.5" thickBot="1">
      <c r="B8" s="688" t="s">
        <v>15</v>
      </c>
      <c r="C8" s="689">
        <v>10067215.059825273</v>
      </c>
      <c r="D8" s="689">
        <f>'08 Ekonomická analýza'!$C$18</f>
        <v>10078206.654562874</v>
      </c>
      <c r="E8" s="690">
        <v>10089198.249300474</v>
      </c>
      <c r="G8" s="688" t="str">
        <f t="shared" si="0"/>
        <v>Zostatková hodnota</v>
      </c>
      <c r="H8" s="689">
        <v>10023248.680874869</v>
      </c>
      <c r="I8" s="689">
        <f>'08 Ekonomická analýza'!$C$18</f>
        <v>10078206.654562874</v>
      </c>
      <c r="J8" s="690">
        <v>10133164.628250878</v>
      </c>
      <c r="L8" s="688" t="str">
        <f t="shared" si="1"/>
        <v>Zostatková hodnota</v>
      </c>
      <c r="M8" s="689">
        <v>9968290.7071868647</v>
      </c>
      <c r="N8" s="689">
        <f>'08 Ekonomická analýza'!$C$18</f>
        <v>10078206.654562874</v>
      </c>
      <c r="O8" s="690">
        <v>10188122.601938883</v>
      </c>
    </row>
    <row r="10" spans="2:15" ht="13.5" thickBot="1"/>
    <row r="11" spans="2:15" ht="27.75" customHeight="1" thickBot="1">
      <c r="B11" s="691" t="s">
        <v>848</v>
      </c>
      <c r="C11" s="674" t="s">
        <v>845</v>
      </c>
      <c r="D11" s="692" t="s">
        <v>846</v>
      </c>
      <c r="E11" s="676" t="s">
        <v>847</v>
      </c>
      <c r="G11" s="691" t="s">
        <v>848</v>
      </c>
      <c r="H11" s="677">
        <v>-0.05</v>
      </c>
      <c r="I11" s="693">
        <v>0</v>
      </c>
      <c r="J11" s="679">
        <v>0.05</v>
      </c>
      <c r="L11" s="691" t="s">
        <v>848</v>
      </c>
      <c r="M11" s="680">
        <v>-0.1</v>
      </c>
      <c r="N11" s="678">
        <v>0</v>
      </c>
      <c r="O11" s="681">
        <v>0.1</v>
      </c>
    </row>
    <row r="12" spans="2:15">
      <c r="B12" s="682" t="s">
        <v>860</v>
      </c>
      <c r="C12" s="694">
        <f t="shared" ref="C12:C17" si="2">C3/D3-1</f>
        <v>2.7613814337880571E-2</v>
      </c>
      <c r="D12" s="694">
        <f>D3/D3-1</f>
        <v>0</v>
      </c>
      <c r="E12" s="849">
        <f t="shared" ref="E12:E17" si="3">E3/D3-1</f>
        <v>-2.7613814337880238E-2</v>
      </c>
      <c r="G12" s="682" t="str">
        <f t="shared" ref="G12:G17" si="4">B12</f>
        <v>Investičné náklady - zmena v %</v>
      </c>
      <c r="H12" s="694">
        <f t="shared" ref="H12:H17" si="5">H3/I3-1</f>
        <v>0.1380690716894013</v>
      </c>
      <c r="I12" s="694">
        <f>I3/I3-1</f>
        <v>0</v>
      </c>
      <c r="J12" s="849">
        <f t="shared" ref="J12:J17" si="6">J3/I3-1</f>
        <v>-0.1380690716894013</v>
      </c>
      <c r="L12" s="682" t="str">
        <f t="shared" ref="L12:L17" si="7">B12</f>
        <v>Investičné náklady - zmena v %</v>
      </c>
      <c r="M12" s="694">
        <f t="shared" ref="M12:M17" si="8">M3/N3-1</f>
        <v>0.27613814337880194</v>
      </c>
      <c r="N12" s="694">
        <f>N3/N3-1</f>
        <v>0</v>
      </c>
      <c r="O12" s="849">
        <f t="shared" ref="O12:O17" si="9">O3/N3-1</f>
        <v>-0.27613814337880283</v>
      </c>
    </row>
    <row r="13" spans="2:15">
      <c r="B13" s="685" t="s">
        <v>962</v>
      </c>
      <c r="C13" s="695">
        <f t="shared" si="2"/>
        <v>-2.1555698260695699E-2</v>
      </c>
      <c r="D13" s="695">
        <f>D4/D4-1</f>
        <v>0</v>
      </c>
      <c r="E13" s="850">
        <f t="shared" si="3"/>
        <v>2.1555698260707246E-2</v>
      </c>
      <c r="G13" s="685" t="str">
        <f t="shared" si="4"/>
        <v>Prevádzkové náklady - mzdové náklady - zmena v %</v>
      </c>
      <c r="H13" s="695">
        <f t="shared" si="5"/>
        <v>-0.10777849130349904</v>
      </c>
      <c r="I13" s="695">
        <f>I4/I4-1</f>
        <v>0</v>
      </c>
      <c r="J13" s="850">
        <f t="shared" si="6"/>
        <v>0.10777849130351069</v>
      </c>
      <c r="L13" s="685" t="str">
        <f t="shared" si="7"/>
        <v>Prevádzkové náklady - mzdové náklady - zmena v %</v>
      </c>
      <c r="M13" s="695">
        <f t="shared" si="8"/>
        <v>-0.21555698260700273</v>
      </c>
      <c r="N13" s="695">
        <f>N4/N4-1</f>
        <v>0</v>
      </c>
      <c r="O13" s="850">
        <f t="shared" si="9"/>
        <v>0.21555698260701606</v>
      </c>
    </row>
    <row r="14" spans="2:15">
      <c r="B14" s="685" t="s">
        <v>964</v>
      </c>
      <c r="C14" s="695">
        <f t="shared" si="2"/>
        <v>-7.7273805043376331E-4</v>
      </c>
      <c r="D14" s="695">
        <f>D5/D5-1</f>
        <v>0</v>
      </c>
      <c r="E14" s="850">
        <f t="shared" si="3"/>
        <v>7.7273805044519861E-4</v>
      </c>
      <c r="G14" s="685" t="str">
        <f t="shared" si="4"/>
        <v>Prevádzkové náklady – bežné a pravidelné náklady - zmena v %</v>
      </c>
      <c r="H14" s="695">
        <f t="shared" si="5"/>
        <v>-3.8636902521925753E-3</v>
      </c>
      <c r="I14" s="695">
        <f>I5/I5-1</f>
        <v>0</v>
      </c>
      <c r="J14" s="850">
        <f t="shared" si="6"/>
        <v>3.8636902522037886E-3</v>
      </c>
      <c r="L14" s="685" t="str">
        <f t="shared" ref="L14" si="10">B14</f>
        <v>Prevádzkové náklady – bežné a pravidelné náklady - zmena v %</v>
      </c>
      <c r="M14" s="695">
        <f t="shared" si="8"/>
        <v>-7.7273805043881483E-3</v>
      </c>
      <c r="N14" s="695">
        <f>N5/N5-1</f>
        <v>0</v>
      </c>
      <c r="O14" s="850">
        <f t="shared" si="9"/>
        <v>7.7273805043991395E-3</v>
      </c>
    </row>
    <row r="15" spans="2:15">
      <c r="B15" s="685" t="s">
        <v>861</v>
      </c>
      <c r="C15" s="695">
        <f t="shared" si="2"/>
        <v>-1.419474800550713E-2</v>
      </c>
      <c r="D15" s="695">
        <f>D6/D6-1</f>
        <v>0</v>
      </c>
      <c r="E15" s="850">
        <f t="shared" si="3"/>
        <v>1.4194748005517788E-2</v>
      </c>
      <c r="G15" s="685" t="str">
        <f t="shared" si="4"/>
        <v>Úspora času - osobná  doprava - zmena v %</v>
      </c>
      <c r="H15" s="695">
        <f t="shared" si="5"/>
        <v>-7.0973740027555965E-2</v>
      </c>
      <c r="I15" s="695">
        <f>I6/I6-1</f>
        <v>0</v>
      </c>
      <c r="J15" s="850">
        <f t="shared" si="6"/>
        <v>7.0973740027567844E-2</v>
      </c>
      <c r="L15" s="685" t="str">
        <f t="shared" si="7"/>
        <v>Úspora času - osobná  doprava - zmena v %</v>
      </c>
      <c r="M15" s="695">
        <f t="shared" si="8"/>
        <v>-0.14194748005511848</v>
      </c>
      <c r="N15" s="695">
        <f>N6/N6-1</f>
        <v>0</v>
      </c>
      <c r="O15" s="850">
        <f t="shared" si="9"/>
        <v>0.1419474800551308</v>
      </c>
    </row>
    <row r="16" spans="2:15">
      <c r="B16" s="700" t="s">
        <v>862</v>
      </c>
      <c r="C16" s="695">
        <f t="shared" si="2"/>
        <v>-1.4194748005506908E-2</v>
      </c>
      <c r="D16" s="695">
        <f>D7/D7-1</f>
        <v>0</v>
      </c>
      <c r="E16" s="850">
        <f t="shared" si="3"/>
        <v>1.419474800551801E-2</v>
      </c>
      <c r="G16" s="700" t="str">
        <f t="shared" si="4"/>
        <v>Počet cestujúcich - zmena v %</v>
      </c>
      <c r="H16" s="695">
        <f t="shared" si="5"/>
        <v>-7.0973740027555965E-2</v>
      </c>
      <c r="I16" s="695">
        <f>I7/I7-1</f>
        <v>0</v>
      </c>
      <c r="J16" s="850">
        <f t="shared" si="6"/>
        <v>7.0973740027568066E-2</v>
      </c>
      <c r="L16" s="700" t="str">
        <f t="shared" si="7"/>
        <v>Počet cestujúcich - zmena v %</v>
      </c>
      <c r="M16" s="695">
        <f t="shared" si="8"/>
        <v>-0.14194748005511937</v>
      </c>
      <c r="N16" s="695">
        <f>N7/N7-1</f>
        <v>0</v>
      </c>
      <c r="O16" s="850">
        <f t="shared" si="9"/>
        <v>0.1419474800551308</v>
      </c>
    </row>
    <row r="17" spans="2:15" ht="13.5" thickBot="1">
      <c r="B17" s="688" t="s">
        <v>851</v>
      </c>
      <c r="C17" s="696">
        <f t="shared" si="2"/>
        <v>-1.0906300212274456E-3</v>
      </c>
      <c r="D17" s="696">
        <f t="shared" ref="D17" si="11">D8/D8-1</f>
        <v>0</v>
      </c>
      <c r="E17" s="851">
        <f t="shared" si="3"/>
        <v>1.0906300212274456E-3</v>
      </c>
      <c r="G17" s="688" t="str">
        <f t="shared" si="4"/>
        <v>Zostatková hodnota - zmena v %</v>
      </c>
      <c r="H17" s="696">
        <f t="shared" si="5"/>
        <v>-5.4531501061374499E-3</v>
      </c>
      <c r="I17" s="696">
        <f t="shared" ref="I17" si="12">I8/I8-1</f>
        <v>0</v>
      </c>
      <c r="J17" s="851">
        <f t="shared" si="6"/>
        <v>5.4531501061374499E-3</v>
      </c>
      <c r="L17" s="688" t="str">
        <f t="shared" si="7"/>
        <v>Zostatková hodnota - zmena v %</v>
      </c>
      <c r="M17" s="696">
        <f t="shared" si="8"/>
        <v>-1.09063002122749E-2</v>
      </c>
      <c r="N17" s="696">
        <f t="shared" ref="N17" si="13">N8/N8-1</f>
        <v>0</v>
      </c>
      <c r="O17" s="851">
        <f t="shared" si="9"/>
        <v>1.09063002122749E-2</v>
      </c>
    </row>
    <row r="76" spans="2:15" ht="13.5" thickBot="1"/>
    <row r="77" spans="2:15" ht="32.25" customHeight="1" thickBot="1">
      <c r="B77" s="697"/>
      <c r="C77" s="1027" t="s">
        <v>852</v>
      </c>
      <c r="D77" s="1028"/>
      <c r="E77" s="1028"/>
      <c r="F77" s="1029"/>
      <c r="G77" s="1030" t="s">
        <v>853</v>
      </c>
      <c r="H77" s="1028"/>
      <c r="I77" s="1028"/>
      <c r="J77" s="1028"/>
      <c r="K77" s="1031"/>
      <c r="L77" s="1032" t="s">
        <v>854</v>
      </c>
      <c r="M77" s="1028"/>
      <c r="N77" s="1028"/>
      <c r="O77" s="1031"/>
    </row>
    <row r="78" spans="2:15" s="698" customFormat="1" ht="57.75" customHeight="1">
      <c r="B78" s="854" t="str">
        <f>B3</f>
        <v>Investičné náklady</v>
      </c>
      <c r="C78" s="1059" t="s">
        <v>855</v>
      </c>
      <c r="D78" s="1060"/>
      <c r="E78" s="1060"/>
      <c r="F78" s="1061"/>
      <c r="G78" s="1062">
        <v>0.35053244976243625</v>
      </c>
      <c r="H78" s="1063"/>
      <c r="I78" s="1063"/>
      <c r="J78" s="1063"/>
      <c r="K78" s="1064"/>
      <c r="L78" s="1065" t="s">
        <v>1028</v>
      </c>
      <c r="M78" s="1066"/>
      <c r="N78" s="1066"/>
      <c r="O78" s="1067"/>
    </row>
    <row r="79" spans="2:15" s="698" customFormat="1" ht="36" customHeight="1">
      <c r="B79" s="853" t="str">
        <f>B4</f>
        <v>Prevádzkové náklady - mzdové náklady</v>
      </c>
      <c r="C79" s="1041" t="s">
        <v>855</v>
      </c>
      <c r="D79" s="1042"/>
      <c r="E79" s="1042"/>
      <c r="F79" s="1043"/>
      <c r="G79" s="1021">
        <v>-0.46399999999999997</v>
      </c>
      <c r="H79" s="1022"/>
      <c r="I79" s="1022"/>
      <c r="J79" s="1022"/>
      <c r="K79" s="1023"/>
      <c r="L79" s="1044" t="s">
        <v>1014</v>
      </c>
      <c r="M79" s="1045"/>
      <c r="N79" s="1045"/>
      <c r="O79" s="1046"/>
    </row>
    <row r="80" spans="2:15" s="698" customFormat="1" ht="36" customHeight="1">
      <c r="B80" s="853" t="str">
        <f>B5</f>
        <v>Prevádzkové náklady – bežné a pravidelné náklady</v>
      </c>
      <c r="C80" s="1041" t="s">
        <v>856</v>
      </c>
      <c r="D80" s="1042"/>
      <c r="E80" s="1042"/>
      <c r="F80" s="1043"/>
      <c r="G80" s="1056" t="s">
        <v>857</v>
      </c>
      <c r="H80" s="1057"/>
      <c r="I80" s="1057"/>
      <c r="J80" s="1057"/>
      <c r="K80" s="1058"/>
      <c r="L80" s="1044" t="s">
        <v>858</v>
      </c>
      <c r="M80" s="1045"/>
      <c r="N80" s="1045"/>
      <c r="O80" s="1046"/>
    </row>
    <row r="81" spans="2:15" s="698" customFormat="1" ht="70.5" customHeight="1">
      <c r="B81" s="853" t="str">
        <f>B6</f>
        <v xml:space="preserve">Úspora času </v>
      </c>
      <c r="C81" s="1041" t="s">
        <v>855</v>
      </c>
      <c r="D81" s="1042"/>
      <c r="E81" s="1042"/>
      <c r="F81" s="1043"/>
      <c r="G81" s="1021">
        <v>-0.70499999999999996</v>
      </c>
      <c r="H81" s="1022"/>
      <c r="I81" s="1022"/>
      <c r="J81" s="1022"/>
      <c r="K81" s="1023"/>
      <c r="L81" s="1044" t="s">
        <v>1016</v>
      </c>
      <c r="M81" s="1045"/>
      <c r="N81" s="1045"/>
      <c r="O81" s="1046"/>
    </row>
    <row r="82" spans="2:15" s="698" customFormat="1" ht="36" customHeight="1">
      <c r="B82" s="853" t="str">
        <f>B7</f>
        <v>Počet cestujúcich</v>
      </c>
      <c r="C82" s="1041" t="s">
        <v>855</v>
      </c>
      <c r="D82" s="1042"/>
      <c r="E82" s="1042"/>
      <c r="F82" s="1043"/>
      <c r="G82" s="1021">
        <v>-0.70499999999999985</v>
      </c>
      <c r="H82" s="1022"/>
      <c r="I82" s="1022"/>
      <c r="J82" s="1022"/>
      <c r="K82" s="1023"/>
      <c r="L82" s="1044" t="s">
        <v>1015</v>
      </c>
      <c r="M82" s="1045"/>
      <c r="N82" s="1045"/>
      <c r="O82" s="1046"/>
    </row>
    <row r="83" spans="2:15" s="698" customFormat="1" ht="36" customHeight="1" thickBot="1">
      <c r="B83" s="852" t="str">
        <f t="shared" ref="B83" si="14">B8</f>
        <v>Zostatková hodnota</v>
      </c>
      <c r="C83" s="1047" t="s">
        <v>856</v>
      </c>
      <c r="D83" s="1048"/>
      <c r="E83" s="1048"/>
      <c r="F83" s="1049"/>
      <c r="G83" s="1050" t="s">
        <v>857</v>
      </c>
      <c r="H83" s="1051"/>
      <c r="I83" s="1051"/>
      <c r="J83" s="1051"/>
      <c r="K83" s="1052"/>
      <c r="L83" s="1053" t="s">
        <v>858</v>
      </c>
      <c r="M83" s="1054"/>
      <c r="N83" s="1054"/>
      <c r="O83" s="1055"/>
    </row>
  </sheetData>
  <mergeCells count="21">
    <mergeCell ref="C77:F77"/>
    <mergeCell ref="G77:K77"/>
    <mergeCell ref="L77:O77"/>
    <mergeCell ref="C78:F78"/>
    <mergeCell ref="G78:K78"/>
    <mergeCell ref="L78:O78"/>
    <mergeCell ref="C79:F79"/>
    <mergeCell ref="G79:K79"/>
    <mergeCell ref="L79:O79"/>
    <mergeCell ref="C81:F81"/>
    <mergeCell ref="G81:K81"/>
    <mergeCell ref="L81:O81"/>
    <mergeCell ref="C80:F80"/>
    <mergeCell ref="G80:K80"/>
    <mergeCell ref="L80:O80"/>
    <mergeCell ref="C82:F82"/>
    <mergeCell ref="G82:K82"/>
    <mergeCell ref="L82:O82"/>
    <mergeCell ref="C83:F83"/>
    <mergeCell ref="G83:K83"/>
    <mergeCell ref="L83:O83"/>
  </mergeCells>
  <pageMargins left="0.7" right="0.7" top="0.75" bottom="0.75" header="0.3" footer="0.3"/>
  <pageSetup paperSize="8" scale="31"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FF"/>
  </sheetPr>
  <dimension ref="B1:J18"/>
  <sheetViews>
    <sheetView zoomScale="80" zoomScaleNormal="80" workbookViewId="0">
      <selection activeCell="B17" sqref="B17"/>
    </sheetView>
  </sheetViews>
  <sheetFormatPr defaultColWidth="8.7109375" defaultRowHeight="11.25"/>
  <cols>
    <col min="1" max="1" width="2.140625" style="703" customWidth="1"/>
    <col min="2" max="2" width="23.28515625" style="703" customWidth="1"/>
    <col min="3" max="4" width="22.42578125" style="703" customWidth="1"/>
    <col min="5" max="5" width="29.42578125" style="703" customWidth="1"/>
    <col min="6" max="6" width="39.28515625" style="703" customWidth="1"/>
    <col min="7" max="7" width="23.7109375" style="703" customWidth="1"/>
    <col min="8" max="8" width="28.28515625" style="703" customWidth="1"/>
    <col min="9" max="9" width="24.28515625" style="703" customWidth="1"/>
    <col min="10" max="10" width="39.7109375" style="703" customWidth="1"/>
    <col min="11" max="16384" width="8.7109375" style="703"/>
  </cols>
  <sheetData>
    <row r="1" spans="2:10" ht="9" customHeight="1" thickBot="1"/>
    <row r="2" spans="2:10" ht="27" customHeight="1" thickBot="1">
      <c r="B2" s="1070" t="s">
        <v>863</v>
      </c>
      <c r="C2" s="1071"/>
      <c r="D2" s="1071"/>
      <c r="E2" s="1071"/>
      <c r="F2" s="1071"/>
      <c r="G2" s="1072"/>
      <c r="H2" s="866"/>
      <c r="I2" s="866"/>
      <c r="J2" s="866"/>
    </row>
    <row r="3" spans="2:10" ht="31.5" customHeight="1" thickBot="1">
      <c r="B3" s="864" t="s">
        <v>864</v>
      </c>
      <c r="C3" s="865" t="s">
        <v>74</v>
      </c>
      <c r="D3" s="865" t="s">
        <v>11</v>
      </c>
      <c r="E3" s="865" t="s">
        <v>255</v>
      </c>
      <c r="F3" s="865" t="s">
        <v>15</v>
      </c>
      <c r="G3" s="867" t="s">
        <v>290</v>
      </c>
    </row>
    <row r="4" spans="2:10" ht="42" customHeight="1" thickBot="1">
      <c r="B4" s="704" t="s">
        <v>865</v>
      </c>
      <c r="C4" s="855" t="s">
        <v>1017</v>
      </c>
      <c r="D4" s="856" t="s">
        <v>1019</v>
      </c>
      <c r="E4" s="856" t="s">
        <v>1021</v>
      </c>
      <c r="F4" s="863" t="s">
        <v>1023</v>
      </c>
      <c r="G4" s="868" t="s">
        <v>1025</v>
      </c>
    </row>
    <row r="5" spans="2:10" ht="9.75" customHeight="1" thickBot="1">
      <c r="B5" s="705"/>
      <c r="C5" s="706"/>
      <c r="D5" s="706"/>
      <c r="E5" s="706"/>
      <c r="F5" s="706"/>
      <c r="G5" s="869"/>
    </row>
    <row r="6" spans="2:10" ht="42" customHeight="1" thickBot="1">
      <c r="B6" s="707" t="s">
        <v>866</v>
      </c>
      <c r="C6" s="857" t="s">
        <v>867</v>
      </c>
      <c r="D6" s="858" t="s">
        <v>867</v>
      </c>
      <c r="E6" s="858" t="s">
        <v>867</v>
      </c>
      <c r="F6" s="861" t="s">
        <v>868</v>
      </c>
      <c r="G6" s="870" t="s">
        <v>869</v>
      </c>
    </row>
    <row r="7" spans="2:10" ht="9.75" customHeight="1" thickBot="1">
      <c r="B7" s="705"/>
      <c r="C7" s="706"/>
      <c r="D7" s="706"/>
      <c r="E7" s="706"/>
      <c r="F7" s="706"/>
      <c r="G7" s="869"/>
    </row>
    <row r="8" spans="2:10" ht="42" customHeight="1" thickBot="1">
      <c r="B8" s="708" t="s">
        <v>870</v>
      </c>
      <c r="C8" s="859" t="s">
        <v>1018</v>
      </c>
      <c r="D8" s="860" t="s">
        <v>1020</v>
      </c>
      <c r="E8" s="860" t="s">
        <v>1022</v>
      </c>
      <c r="F8" s="862" t="s">
        <v>1024</v>
      </c>
      <c r="G8" s="871" t="s">
        <v>1026</v>
      </c>
    </row>
    <row r="9" spans="2:10">
      <c r="B9" s="709"/>
      <c r="C9" s="710"/>
      <c r="D9" s="711"/>
      <c r="E9" s="711"/>
      <c r="F9" s="712"/>
      <c r="G9" s="710"/>
    </row>
    <row r="10" spans="2:10" ht="12" thickBot="1">
      <c r="B10" s="709"/>
      <c r="C10" s="710"/>
      <c r="D10" s="711"/>
      <c r="E10" s="711"/>
      <c r="F10" s="712"/>
      <c r="G10" s="710"/>
    </row>
    <row r="11" spans="2:10" ht="7.5" customHeight="1" thickBot="1">
      <c r="B11" s="1068" t="s">
        <v>871</v>
      </c>
      <c r="C11" s="710"/>
      <c r="D11" s="711"/>
      <c r="E11" s="711"/>
      <c r="F11" s="712"/>
      <c r="G11" s="710"/>
    </row>
    <row r="12" spans="2:10" ht="23.25" customHeight="1" thickBot="1">
      <c r="B12" s="1069"/>
      <c r="C12" s="713" t="s">
        <v>872</v>
      </c>
      <c r="D12" s="714" t="s">
        <v>866</v>
      </c>
      <c r="E12" s="715" t="s">
        <v>870</v>
      </c>
      <c r="F12" s="712"/>
      <c r="G12" s="710"/>
    </row>
    <row r="13" spans="2:10">
      <c r="B13" s="716" t="s">
        <v>873</v>
      </c>
      <c r="C13" s="717">
        <v>2.1527994478211188E-2</v>
      </c>
      <c r="D13" s="718">
        <f>'06 Finančná analýza'!C14</f>
        <v>3.8464819129005345E-2</v>
      </c>
      <c r="E13" s="719">
        <v>5.978699079448857E-2</v>
      </c>
      <c r="F13" s="712"/>
      <c r="G13" s="710"/>
    </row>
    <row r="14" spans="2:10" ht="12" thickBot="1">
      <c r="B14" s="720" t="s">
        <v>874</v>
      </c>
      <c r="C14" s="721">
        <v>-9535338.3622432314</v>
      </c>
      <c r="D14" s="722">
        <f>'06 Finančná analýza'!C13</f>
        <v>-713332.81196636613</v>
      </c>
      <c r="E14" s="723">
        <v>8108672.7383105047</v>
      </c>
      <c r="F14" s="712"/>
      <c r="G14" s="710"/>
    </row>
    <row r="15" spans="2:10">
      <c r="B15" s="724" t="s">
        <v>875</v>
      </c>
      <c r="C15" s="725">
        <v>5.1242009357978402E-2</v>
      </c>
      <c r="D15" s="726">
        <f>'08 Ekonomická analýza'!C19</f>
        <v>7.5210108788235086E-2</v>
      </c>
      <c r="E15" s="727">
        <v>0.10522312914220233</v>
      </c>
      <c r="F15" s="712"/>
      <c r="G15" s="710"/>
    </row>
    <row r="16" spans="2:10" ht="12" thickBot="1">
      <c r="B16" s="720" t="s">
        <v>876</v>
      </c>
      <c r="C16" s="721">
        <v>547291.67596982</v>
      </c>
      <c r="D16" s="722">
        <f>'08 Ekonomická analýza'!C18</f>
        <v>10078206.654562874</v>
      </c>
      <c r="E16" s="723">
        <v>19609121.633155916</v>
      </c>
      <c r="F16" s="712"/>
      <c r="G16" s="710"/>
    </row>
    <row r="17" spans="2:7">
      <c r="B17" s="709"/>
      <c r="C17" s="710"/>
      <c r="D17" s="711"/>
      <c r="E17" s="711"/>
      <c r="F17" s="712"/>
      <c r="G17" s="710"/>
    </row>
    <row r="18" spans="2:7">
      <c r="B18" s="709"/>
      <c r="C18" s="710"/>
      <c r="D18" s="711"/>
      <c r="E18" s="711"/>
      <c r="F18" s="712"/>
      <c r="G18" s="710"/>
    </row>
  </sheetData>
  <mergeCells count="2">
    <mergeCell ref="B11:B12"/>
    <mergeCell ref="B2:G2"/>
  </mergeCells>
  <pageMargins left="0.7" right="0.7" top="0.75" bottom="0.75" header="0.3" footer="0.3"/>
  <pageSetup paperSize="9" orientation="portrait" horizontalDpi="0"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FF"/>
  </sheetPr>
  <dimension ref="B1:K44"/>
  <sheetViews>
    <sheetView workbookViewId="0">
      <pane xSplit="11" ySplit="2" topLeftCell="O3" activePane="bottomRight" state="frozen"/>
      <selection pane="topRight" activeCell="M1" sqref="M1"/>
      <selection pane="bottomLeft" activeCell="A3" sqref="A3"/>
      <selection pane="bottomRight" activeCell="B6" sqref="B6:K6"/>
    </sheetView>
  </sheetViews>
  <sheetFormatPr defaultColWidth="8.85546875" defaultRowHeight="15"/>
  <cols>
    <col min="1" max="1" width="1.7109375" style="330" customWidth="1"/>
    <col min="2" max="2" width="38.140625" style="330" customWidth="1"/>
    <col min="3" max="3" width="30.28515625" style="330" customWidth="1"/>
    <col min="4" max="4" width="39.140625" style="330" customWidth="1"/>
    <col min="5" max="5" width="22.42578125" style="330" customWidth="1"/>
    <col min="6" max="6" width="30.85546875" style="330" customWidth="1"/>
    <col min="7" max="7" width="23.140625" style="330" customWidth="1"/>
    <col min="8" max="8" width="17.85546875" style="330" customWidth="1"/>
    <col min="9" max="9" width="14" style="330" customWidth="1"/>
    <col min="10" max="10" width="27" style="330" customWidth="1"/>
    <col min="11" max="11" width="16.140625" style="330" customWidth="1"/>
    <col min="12" max="16384" width="8.85546875" style="330"/>
  </cols>
  <sheetData>
    <row r="1" spans="2:11" ht="28.5" customHeight="1">
      <c r="B1" s="1103" t="s">
        <v>877</v>
      </c>
      <c r="C1" s="1105" t="s">
        <v>878</v>
      </c>
      <c r="D1" s="1105" t="s">
        <v>879</v>
      </c>
      <c r="E1" s="1105" t="s">
        <v>880</v>
      </c>
      <c r="F1" s="1105" t="s">
        <v>881</v>
      </c>
      <c r="G1" s="1105" t="s">
        <v>882</v>
      </c>
      <c r="H1" s="1105" t="s">
        <v>883</v>
      </c>
      <c r="I1" s="1105" t="s">
        <v>884</v>
      </c>
      <c r="J1" s="1105" t="s">
        <v>885</v>
      </c>
      <c r="K1" s="1107" t="s">
        <v>886</v>
      </c>
    </row>
    <row r="2" spans="2:11" ht="15.75" thickBot="1">
      <c r="B2" s="1104"/>
      <c r="C2" s="1106"/>
      <c r="D2" s="1106"/>
      <c r="E2" s="1106"/>
      <c r="F2" s="1106"/>
      <c r="G2" s="1106" t="s">
        <v>887</v>
      </c>
      <c r="H2" s="1106"/>
      <c r="I2" s="1106"/>
      <c r="J2" s="1106"/>
      <c r="K2" s="1108"/>
    </row>
    <row r="3" spans="2:11" ht="18.75">
      <c r="B3" s="1109" t="s">
        <v>965</v>
      </c>
      <c r="C3" s="1110"/>
      <c r="D3" s="1110"/>
      <c r="E3" s="1110"/>
      <c r="F3" s="1110"/>
      <c r="G3" s="1110"/>
      <c r="H3" s="1110"/>
      <c r="I3" s="1110"/>
      <c r="J3" s="1110"/>
      <c r="K3" s="1111"/>
    </row>
    <row r="4" spans="2:11" ht="82.5" customHeight="1">
      <c r="B4" s="798" t="s">
        <v>966</v>
      </c>
      <c r="C4" s="799" t="s">
        <v>967</v>
      </c>
      <c r="D4" s="799" t="s">
        <v>968</v>
      </c>
      <c r="E4" s="800" t="s">
        <v>969</v>
      </c>
      <c r="F4" s="799" t="s">
        <v>888</v>
      </c>
      <c r="G4" s="799" t="s">
        <v>893</v>
      </c>
      <c r="H4" s="799" t="s">
        <v>894</v>
      </c>
      <c r="I4" s="801" t="s">
        <v>892</v>
      </c>
      <c r="J4" s="802" t="s">
        <v>970</v>
      </c>
      <c r="K4" s="803" t="s">
        <v>891</v>
      </c>
    </row>
    <row r="5" spans="2:11" ht="82.5" customHeight="1">
      <c r="B5" s="804" t="s">
        <v>971</v>
      </c>
      <c r="C5" s="800" t="s">
        <v>967</v>
      </c>
      <c r="D5" s="800" t="s">
        <v>972</v>
      </c>
      <c r="E5" s="800" t="s">
        <v>973</v>
      </c>
      <c r="F5" s="800" t="s">
        <v>888</v>
      </c>
      <c r="G5" s="800" t="s">
        <v>889</v>
      </c>
      <c r="H5" s="800" t="s">
        <v>894</v>
      </c>
      <c r="I5" s="805" t="s">
        <v>919</v>
      </c>
      <c r="J5" s="802" t="s">
        <v>974</v>
      </c>
      <c r="K5" s="806" t="s">
        <v>891</v>
      </c>
    </row>
    <row r="6" spans="2:11" ht="18.75">
      <c r="B6" s="1088" t="s">
        <v>975</v>
      </c>
      <c r="C6" s="1089"/>
      <c r="D6" s="1089"/>
      <c r="E6" s="1089"/>
      <c r="F6" s="1089"/>
      <c r="G6" s="1089"/>
      <c r="H6" s="1089"/>
      <c r="I6" s="1089"/>
      <c r="J6" s="1089"/>
      <c r="K6" s="1090"/>
    </row>
    <row r="7" spans="2:11" ht="104.25" customHeight="1">
      <c r="B7" s="798" t="s">
        <v>976</v>
      </c>
      <c r="C7" s="799" t="s">
        <v>977</v>
      </c>
      <c r="D7" s="799" t="s">
        <v>978</v>
      </c>
      <c r="E7" s="799" t="s">
        <v>979</v>
      </c>
      <c r="F7" s="807" t="s">
        <v>980</v>
      </c>
      <c r="G7" s="799" t="s">
        <v>896</v>
      </c>
      <c r="H7" s="799" t="s">
        <v>981</v>
      </c>
      <c r="I7" s="808" t="s">
        <v>921</v>
      </c>
      <c r="J7" s="799" t="s">
        <v>982</v>
      </c>
      <c r="K7" s="809" t="s">
        <v>898</v>
      </c>
    </row>
    <row r="8" spans="2:11" ht="18.75">
      <c r="B8" s="1088" t="s">
        <v>895</v>
      </c>
      <c r="C8" s="1089"/>
      <c r="D8" s="1089"/>
      <c r="E8" s="1089"/>
      <c r="F8" s="1089"/>
      <c r="G8" s="1089"/>
      <c r="H8" s="1089"/>
      <c r="I8" s="1089"/>
      <c r="J8" s="1089"/>
      <c r="K8" s="1090"/>
    </row>
    <row r="9" spans="2:11" ht="47.25" customHeight="1">
      <c r="B9" s="798" t="s">
        <v>983</v>
      </c>
      <c r="C9" s="799" t="s">
        <v>984</v>
      </c>
      <c r="D9" s="799" t="s">
        <v>985</v>
      </c>
      <c r="E9" s="799" t="s">
        <v>986</v>
      </c>
      <c r="F9" s="800" t="s">
        <v>987</v>
      </c>
      <c r="G9" s="807" t="s">
        <v>893</v>
      </c>
      <c r="H9" s="807" t="s">
        <v>894</v>
      </c>
      <c r="I9" s="810" t="s">
        <v>892</v>
      </c>
      <c r="J9" s="807" t="s">
        <v>988</v>
      </c>
      <c r="K9" s="811" t="s">
        <v>891</v>
      </c>
    </row>
    <row r="10" spans="2:11" ht="93" customHeight="1">
      <c r="B10" s="804" t="s">
        <v>989</v>
      </c>
      <c r="C10" s="800" t="s">
        <v>984</v>
      </c>
      <c r="D10" s="800" t="s">
        <v>990</v>
      </c>
      <c r="E10" s="799" t="s">
        <v>986</v>
      </c>
      <c r="F10" s="800" t="s">
        <v>987</v>
      </c>
      <c r="G10" s="800" t="s">
        <v>896</v>
      </c>
      <c r="H10" s="800" t="s">
        <v>894</v>
      </c>
      <c r="I10" s="810" t="s">
        <v>892</v>
      </c>
      <c r="J10" s="802" t="s">
        <v>897</v>
      </c>
      <c r="K10" s="812" t="s">
        <v>898</v>
      </c>
    </row>
    <row r="11" spans="2:11" ht="54" customHeight="1">
      <c r="B11" s="804" t="s">
        <v>991</v>
      </c>
      <c r="C11" s="800" t="s">
        <v>977</v>
      </c>
      <c r="D11" s="800" t="s">
        <v>992</v>
      </c>
      <c r="E11" s="800" t="s">
        <v>993</v>
      </c>
      <c r="F11" s="800" t="s">
        <v>994</v>
      </c>
      <c r="G11" s="800" t="s">
        <v>896</v>
      </c>
      <c r="H11" s="800" t="s">
        <v>890</v>
      </c>
      <c r="I11" s="813" t="s">
        <v>892</v>
      </c>
      <c r="J11" s="802" t="s">
        <v>995</v>
      </c>
      <c r="K11" s="811" t="s">
        <v>891</v>
      </c>
    </row>
    <row r="12" spans="2:11" ht="64.5" customHeight="1">
      <c r="B12" s="804" t="s">
        <v>996</v>
      </c>
      <c r="C12" s="800" t="s">
        <v>984</v>
      </c>
      <c r="D12" s="800" t="s">
        <v>997</v>
      </c>
      <c r="E12" s="800" t="s">
        <v>998</v>
      </c>
      <c r="F12" s="800" t="s">
        <v>987</v>
      </c>
      <c r="G12" s="800" t="s">
        <v>896</v>
      </c>
      <c r="H12" s="800" t="s">
        <v>894</v>
      </c>
      <c r="I12" s="813" t="s">
        <v>892</v>
      </c>
      <c r="J12" s="802" t="s">
        <v>999</v>
      </c>
      <c r="K12" s="812" t="s">
        <v>898</v>
      </c>
    </row>
    <row r="13" spans="2:11" ht="18.75">
      <c r="B13" s="1088" t="s">
        <v>899</v>
      </c>
      <c r="C13" s="1089"/>
      <c r="D13" s="1089"/>
      <c r="E13" s="1089"/>
      <c r="F13" s="1089"/>
      <c r="G13" s="1089"/>
      <c r="H13" s="1089"/>
      <c r="I13" s="1089"/>
      <c r="J13" s="1089"/>
      <c r="K13" s="1090"/>
    </row>
    <row r="14" spans="2:11" ht="118.5" customHeight="1">
      <c r="B14" s="814" t="s">
        <v>1000</v>
      </c>
      <c r="C14" s="815" t="s">
        <v>1001</v>
      </c>
      <c r="D14" s="815" t="s">
        <v>1002</v>
      </c>
      <c r="E14" s="815" t="s">
        <v>1003</v>
      </c>
      <c r="F14" s="815" t="s">
        <v>900</v>
      </c>
      <c r="G14" s="815" t="s">
        <v>893</v>
      </c>
      <c r="H14" s="815" t="s">
        <v>1004</v>
      </c>
      <c r="I14" s="808" t="s">
        <v>921</v>
      </c>
      <c r="J14" s="815" t="s">
        <v>1005</v>
      </c>
      <c r="K14" s="816" t="s">
        <v>898</v>
      </c>
    </row>
    <row r="15" spans="2:11" ht="18.75" customHeight="1">
      <c r="B15" s="1088" t="s">
        <v>1006</v>
      </c>
      <c r="C15" s="1089"/>
      <c r="D15" s="1089"/>
      <c r="E15" s="1089"/>
      <c r="F15" s="1089"/>
      <c r="G15" s="1089"/>
      <c r="H15" s="1089"/>
      <c r="I15" s="1089"/>
      <c r="J15" s="1089"/>
      <c r="K15" s="1090"/>
    </row>
    <row r="16" spans="2:11" ht="118.5" customHeight="1" thickBot="1">
      <c r="B16" s="817" t="s">
        <v>1010</v>
      </c>
      <c r="C16" s="818" t="s">
        <v>1007</v>
      </c>
      <c r="D16" s="819" t="s">
        <v>1008</v>
      </c>
      <c r="E16" s="818" t="s">
        <v>1007</v>
      </c>
      <c r="F16" s="818" t="s">
        <v>1007</v>
      </c>
      <c r="G16" s="818" t="s">
        <v>893</v>
      </c>
      <c r="H16" s="818" t="s">
        <v>894</v>
      </c>
      <c r="I16" s="820" t="s">
        <v>892</v>
      </c>
      <c r="J16" s="818" t="s">
        <v>1009</v>
      </c>
      <c r="K16" s="821" t="s">
        <v>891</v>
      </c>
    </row>
    <row r="17" spans="2:11">
      <c r="B17" s="822"/>
      <c r="C17" s="823"/>
      <c r="D17" s="823"/>
      <c r="E17" s="823"/>
      <c r="F17" s="823"/>
      <c r="G17" s="823"/>
      <c r="H17" s="823"/>
      <c r="I17" s="823"/>
      <c r="J17" s="823"/>
      <c r="K17" s="823"/>
    </row>
    <row r="18" spans="2:11" ht="15.75" thickBot="1">
      <c r="B18" s="824"/>
      <c r="C18" s="824"/>
      <c r="D18" s="824"/>
      <c r="E18" s="824"/>
      <c r="F18" s="824"/>
      <c r="G18" s="824"/>
      <c r="H18" s="824"/>
      <c r="I18" s="824"/>
      <c r="J18" s="824"/>
      <c r="K18" s="824"/>
    </row>
    <row r="19" spans="2:11" ht="19.5" thickBot="1">
      <c r="B19" s="1091" t="s">
        <v>882</v>
      </c>
      <c r="C19" s="1092"/>
    </row>
    <row r="20" spans="2:11">
      <c r="B20" s="1093" t="s">
        <v>901</v>
      </c>
      <c r="C20" s="1094"/>
    </row>
    <row r="21" spans="2:11">
      <c r="B21" s="1095" t="s">
        <v>902</v>
      </c>
      <c r="C21" s="1096"/>
      <c r="E21" s="825"/>
    </row>
    <row r="22" spans="2:11">
      <c r="B22" s="1095" t="s">
        <v>903</v>
      </c>
      <c r="C22" s="1096"/>
      <c r="E22" s="825"/>
    </row>
    <row r="23" spans="2:11">
      <c r="B23" s="1095" t="s">
        <v>904</v>
      </c>
      <c r="C23" s="1096"/>
    </row>
    <row r="24" spans="2:11" ht="15.75" thickBot="1">
      <c r="B24" s="1097" t="s">
        <v>905</v>
      </c>
      <c r="C24" s="1098"/>
    </row>
    <row r="25" spans="2:11" s="391" customFormat="1" ht="24.75" customHeight="1">
      <c r="B25" s="1099" t="s">
        <v>906</v>
      </c>
      <c r="C25" s="1099"/>
    </row>
    <row r="26" spans="2:11" ht="15.75" thickBot="1">
      <c r="C26" s="826"/>
    </row>
    <row r="27" spans="2:11" ht="19.5" thickBot="1">
      <c r="B27" s="1100" t="s">
        <v>883</v>
      </c>
      <c r="C27" s="1101"/>
      <c r="D27" s="1101"/>
      <c r="E27" s="1102"/>
    </row>
    <row r="28" spans="2:11">
      <c r="B28" s="1085" t="s">
        <v>907</v>
      </c>
      <c r="C28" s="1086"/>
      <c r="D28" s="1086"/>
      <c r="E28" s="1087"/>
    </row>
    <row r="29" spans="2:11" ht="30" customHeight="1">
      <c r="B29" s="1075" t="s">
        <v>908</v>
      </c>
      <c r="C29" s="1076"/>
      <c r="D29" s="1076"/>
      <c r="E29" s="1077"/>
    </row>
    <row r="30" spans="2:11" ht="31.5" customHeight="1">
      <c r="B30" s="1078" t="s">
        <v>909</v>
      </c>
      <c r="C30" s="1079"/>
      <c r="D30" s="1079"/>
      <c r="E30" s="1080"/>
    </row>
    <row r="31" spans="2:11" ht="43.5" customHeight="1">
      <c r="B31" s="1075" t="s">
        <v>910</v>
      </c>
      <c r="C31" s="1076"/>
      <c r="D31" s="1076"/>
      <c r="E31" s="1077"/>
    </row>
    <row r="32" spans="2:11" ht="15.75" thickBot="1">
      <c r="B32" s="728" t="s">
        <v>911</v>
      </c>
      <c r="C32" s="729"/>
      <c r="D32" s="729"/>
      <c r="E32" s="730"/>
    </row>
    <row r="33" spans="2:7" ht="15" customHeight="1">
      <c r="B33" s="1081" t="s">
        <v>906</v>
      </c>
      <c r="C33" s="1081"/>
      <c r="D33" s="1081"/>
      <c r="E33" s="1081"/>
    </row>
    <row r="36" spans="2:7" ht="15.75" thickBot="1">
      <c r="B36" s="924"/>
      <c r="C36" s="924"/>
      <c r="D36" s="924"/>
      <c r="E36" s="924"/>
      <c r="F36" s="924"/>
    </row>
    <row r="37" spans="2:7" ht="15.75" thickBot="1">
      <c r="B37" s="827"/>
      <c r="C37" s="1082" t="s">
        <v>883</v>
      </c>
      <c r="D37" s="1083"/>
      <c r="E37" s="1083"/>
      <c r="F37" s="1083"/>
      <c r="G37" s="1084"/>
    </row>
    <row r="38" spans="2:7">
      <c r="B38" s="828" t="s">
        <v>912</v>
      </c>
      <c r="C38" s="829" t="s">
        <v>913</v>
      </c>
      <c r="D38" s="830" t="s">
        <v>914</v>
      </c>
      <c r="E38" s="830" t="s">
        <v>915</v>
      </c>
      <c r="F38" s="830" t="s">
        <v>916</v>
      </c>
      <c r="G38" s="831" t="s">
        <v>917</v>
      </c>
    </row>
    <row r="39" spans="2:7">
      <c r="B39" s="832" t="s">
        <v>918</v>
      </c>
      <c r="C39" s="833" t="s">
        <v>919</v>
      </c>
      <c r="D39" s="834" t="s">
        <v>919</v>
      </c>
      <c r="E39" s="834" t="s">
        <v>919</v>
      </c>
      <c r="F39" s="834" t="s">
        <v>919</v>
      </c>
      <c r="G39" s="835" t="s">
        <v>892</v>
      </c>
    </row>
    <row r="40" spans="2:7">
      <c r="B40" s="832" t="s">
        <v>920</v>
      </c>
      <c r="C40" s="833" t="s">
        <v>919</v>
      </c>
      <c r="D40" s="834" t="s">
        <v>919</v>
      </c>
      <c r="E40" s="836" t="s">
        <v>892</v>
      </c>
      <c r="F40" s="836" t="s">
        <v>892</v>
      </c>
      <c r="G40" s="837" t="s">
        <v>921</v>
      </c>
    </row>
    <row r="41" spans="2:7">
      <c r="B41" s="832" t="s">
        <v>922</v>
      </c>
      <c r="C41" s="833" t="s">
        <v>919</v>
      </c>
      <c r="D41" s="836" t="s">
        <v>892</v>
      </c>
      <c r="E41" s="836" t="s">
        <v>892</v>
      </c>
      <c r="F41" s="838" t="s">
        <v>921</v>
      </c>
      <c r="G41" s="837" t="s">
        <v>921</v>
      </c>
    </row>
    <row r="42" spans="2:7">
      <c r="B42" s="832" t="s">
        <v>923</v>
      </c>
      <c r="C42" s="833" t="s">
        <v>919</v>
      </c>
      <c r="D42" s="836" t="s">
        <v>892</v>
      </c>
      <c r="E42" s="838" t="s">
        <v>921</v>
      </c>
      <c r="F42" s="839" t="s">
        <v>924</v>
      </c>
      <c r="G42" s="840" t="s">
        <v>924</v>
      </c>
    </row>
    <row r="43" spans="2:7" ht="15.75" thickBot="1">
      <c r="B43" s="841" t="s">
        <v>925</v>
      </c>
      <c r="C43" s="842" t="s">
        <v>892</v>
      </c>
      <c r="D43" s="843" t="s">
        <v>921</v>
      </c>
      <c r="E43" s="844" t="s">
        <v>924</v>
      </c>
      <c r="F43" s="844" t="s">
        <v>924</v>
      </c>
      <c r="G43" s="845" t="s">
        <v>924</v>
      </c>
    </row>
    <row r="44" spans="2:7">
      <c r="B44" s="1073" t="s">
        <v>906</v>
      </c>
      <c r="C44" s="1074"/>
      <c r="D44" s="1074"/>
      <c r="E44" s="1074"/>
    </row>
  </sheetData>
  <mergeCells count="31">
    <mergeCell ref="B6:K6"/>
    <mergeCell ref="B1:B2"/>
    <mergeCell ref="C1:C2"/>
    <mergeCell ref="D1:D2"/>
    <mergeCell ref="E1:E2"/>
    <mergeCell ref="F1:F2"/>
    <mergeCell ref="G1:G2"/>
    <mergeCell ref="H1:H2"/>
    <mergeCell ref="I1:I2"/>
    <mergeCell ref="J1:J2"/>
    <mergeCell ref="K1:K2"/>
    <mergeCell ref="B3:K3"/>
    <mergeCell ref="B28:E28"/>
    <mergeCell ref="B8:K8"/>
    <mergeCell ref="B13:K13"/>
    <mergeCell ref="B15:K15"/>
    <mergeCell ref="B19:C19"/>
    <mergeCell ref="B20:C20"/>
    <mergeCell ref="B21:C21"/>
    <mergeCell ref="B22:C22"/>
    <mergeCell ref="B23:C23"/>
    <mergeCell ref="B24:C24"/>
    <mergeCell ref="B25:C25"/>
    <mergeCell ref="B27:E27"/>
    <mergeCell ref="B44:E44"/>
    <mergeCell ref="B29:E29"/>
    <mergeCell ref="B30:E30"/>
    <mergeCell ref="B31:E31"/>
    <mergeCell ref="B33:E33"/>
    <mergeCell ref="B36:F36"/>
    <mergeCell ref="C37:G37"/>
  </mergeCells>
  <pageMargins left="0.7" right="0.7" top="0.75" bottom="0.75" header="0.3" footer="0.3"/>
  <pageSetup orientation="portrait" horizontalDpi="0" verticalDpi="0"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FF"/>
    <pageSetUpPr fitToPage="1"/>
  </sheetPr>
  <dimension ref="B1:AH161"/>
  <sheetViews>
    <sheetView zoomScale="70" zoomScaleNormal="70" workbookViewId="0">
      <selection activeCell="N29" sqref="N29"/>
    </sheetView>
  </sheetViews>
  <sheetFormatPr defaultColWidth="9.140625" defaultRowHeight="12.75"/>
  <cols>
    <col min="1" max="1" width="5.7109375" style="672" customWidth="1"/>
    <col min="2" max="2" width="14.7109375" style="672" customWidth="1"/>
    <col min="3" max="3" width="29.42578125" style="672" customWidth="1"/>
    <col min="4" max="4" width="18.42578125" style="672" customWidth="1"/>
    <col min="5" max="5" width="22.42578125" style="672" customWidth="1"/>
    <col min="6" max="6" width="20.28515625" style="672" customWidth="1"/>
    <col min="7" max="14" width="9.140625" style="672"/>
    <col min="15" max="15" width="2.85546875" style="762" customWidth="1"/>
    <col min="16" max="16" width="9.140625" style="672"/>
    <col min="17" max="17" width="13.140625" style="672" customWidth="1"/>
    <col min="18" max="18" width="29.42578125" style="672" customWidth="1"/>
    <col min="19" max="19" width="17" style="672" customWidth="1"/>
    <col min="20" max="20" width="23.28515625" style="672" customWidth="1"/>
    <col min="21" max="21" width="20.28515625" style="672" customWidth="1"/>
    <col min="22" max="16384" width="9.140625" style="672"/>
  </cols>
  <sheetData>
    <row r="1" spans="2:34" ht="13.5" thickBot="1"/>
    <row r="2" spans="2:34" ht="43.5" customHeight="1" thickBot="1">
      <c r="B2" s="1173" t="s">
        <v>926</v>
      </c>
      <c r="C2" s="1174"/>
      <c r="D2" s="1174"/>
      <c r="E2" s="1174"/>
      <c r="F2" s="1175"/>
      <c r="Q2" s="1173" t="s">
        <v>926</v>
      </c>
      <c r="R2" s="1174"/>
      <c r="S2" s="1174"/>
      <c r="T2" s="1174"/>
      <c r="U2" s="1175"/>
    </row>
    <row r="3" spans="2:34" ht="13.5" thickBot="1">
      <c r="B3" s="1176" t="s">
        <v>927</v>
      </c>
      <c r="C3" s="1177"/>
      <c r="D3" s="1178"/>
      <c r="E3" s="731" t="s">
        <v>928</v>
      </c>
      <c r="F3" s="732" t="s">
        <v>929</v>
      </c>
      <c r="Q3" s="1179" t="s">
        <v>927</v>
      </c>
      <c r="R3" s="1180"/>
      <c r="S3" s="1180"/>
      <c r="T3" s="733" t="s">
        <v>928</v>
      </c>
      <c r="U3" s="734" t="s">
        <v>929</v>
      </c>
    </row>
    <row r="4" spans="2:34">
      <c r="B4" s="1181" t="s">
        <v>930</v>
      </c>
      <c r="C4" s="1184" t="s">
        <v>931</v>
      </c>
      <c r="D4" s="1185"/>
      <c r="E4" s="735">
        <v>418350.4364730487</v>
      </c>
      <c r="F4" s="736">
        <v>275508.9814843309</v>
      </c>
      <c r="G4" s="737"/>
      <c r="H4" s="737"/>
      <c r="I4" s="737"/>
      <c r="J4" s="737"/>
      <c r="K4" s="737"/>
      <c r="L4" s="737"/>
      <c r="M4" s="737"/>
      <c r="N4" s="737"/>
      <c r="O4" s="763"/>
      <c r="P4" s="737"/>
      <c r="Q4" s="1181" t="s">
        <v>932</v>
      </c>
      <c r="R4" s="1184" t="s">
        <v>931</v>
      </c>
      <c r="S4" s="1185"/>
      <c r="T4" s="738">
        <v>12097076.956929602</v>
      </c>
      <c r="U4" s="739">
        <v>221583.77240094598</v>
      </c>
    </row>
    <row r="5" spans="2:34">
      <c r="B5" s="1182"/>
      <c r="C5" s="1186" t="s">
        <v>933</v>
      </c>
      <c r="D5" s="740" t="s">
        <v>934</v>
      </c>
      <c r="E5" s="741">
        <v>-121702.6171712543</v>
      </c>
      <c r="F5" s="742"/>
      <c r="G5" s="743"/>
      <c r="H5" s="743"/>
      <c r="I5" s="743"/>
      <c r="J5" s="743"/>
      <c r="K5" s="743"/>
      <c r="L5" s="743"/>
      <c r="M5" s="743"/>
      <c r="N5" s="743"/>
      <c r="O5" s="764"/>
      <c r="P5" s="743"/>
      <c r="Q5" s="1182"/>
      <c r="R5" s="1186" t="s">
        <v>933</v>
      </c>
      <c r="S5" s="740" t="s">
        <v>934</v>
      </c>
      <c r="T5" s="744">
        <v>11662728.166271534</v>
      </c>
      <c r="U5" s="745"/>
      <c r="V5" s="746"/>
      <c r="W5" s="746"/>
      <c r="X5" s="746"/>
      <c r="Y5" s="746"/>
      <c r="Z5" s="746"/>
      <c r="AA5" s="746"/>
      <c r="AB5" s="746"/>
      <c r="AC5" s="746"/>
      <c r="AD5" s="746"/>
      <c r="AE5" s="746"/>
      <c r="AF5" s="746"/>
      <c r="AG5" s="746"/>
      <c r="AH5" s="746"/>
    </row>
    <row r="6" spans="2:34">
      <c r="B6" s="1182"/>
      <c r="C6" s="1186"/>
      <c r="D6" s="747" t="s">
        <v>935</v>
      </c>
      <c r="E6" s="748">
        <v>958403.49011735176</v>
      </c>
      <c r="F6" s="749"/>
      <c r="G6" s="743"/>
      <c r="H6" s="743"/>
      <c r="I6" s="743"/>
      <c r="J6" s="743"/>
      <c r="K6" s="743"/>
      <c r="L6" s="743"/>
      <c r="M6" s="743"/>
      <c r="N6" s="743"/>
      <c r="O6" s="764"/>
      <c r="P6" s="743"/>
      <c r="Q6" s="1182"/>
      <c r="R6" s="1186"/>
      <c r="S6" s="747" t="s">
        <v>935</v>
      </c>
      <c r="T6" s="738">
        <v>12531425.74758767</v>
      </c>
      <c r="U6" s="750"/>
      <c r="V6" s="746"/>
      <c r="W6" s="746"/>
      <c r="X6" s="746"/>
      <c r="Y6" s="746"/>
      <c r="Z6" s="746"/>
      <c r="AA6" s="746"/>
      <c r="AB6" s="746"/>
      <c r="AC6" s="746"/>
      <c r="AD6" s="746"/>
      <c r="AE6" s="746"/>
      <c r="AF6" s="746"/>
      <c r="AG6" s="746"/>
      <c r="AH6" s="746"/>
    </row>
    <row r="7" spans="2:34">
      <c r="B7" s="1182"/>
      <c r="C7" s="1171" t="s">
        <v>936</v>
      </c>
      <c r="D7" s="1172"/>
      <c r="E7" s="748">
        <v>408680.22326340049</v>
      </c>
      <c r="F7" s="749"/>
      <c r="G7" s="737"/>
      <c r="H7" s="737"/>
      <c r="I7" s="737"/>
      <c r="J7" s="737"/>
      <c r="K7" s="737"/>
      <c r="L7" s="737"/>
      <c r="M7" s="737"/>
      <c r="N7" s="737"/>
      <c r="O7" s="763"/>
      <c r="P7" s="737"/>
      <c r="Q7" s="1182"/>
      <c r="R7" s="1171" t="s">
        <v>936</v>
      </c>
      <c r="S7" s="1172"/>
      <c r="T7" s="738">
        <v>12105524.095584517</v>
      </c>
      <c r="U7" s="750"/>
      <c r="V7" s="751"/>
      <c r="W7" s="751"/>
      <c r="X7" s="751"/>
      <c r="Y7" s="751"/>
      <c r="Z7" s="751"/>
      <c r="AA7" s="751"/>
      <c r="AB7" s="751"/>
      <c r="AC7" s="751"/>
      <c r="AD7" s="751"/>
      <c r="AE7" s="751"/>
      <c r="AF7" s="751"/>
      <c r="AG7" s="751"/>
      <c r="AH7" s="751"/>
    </row>
    <row r="8" spans="2:34">
      <c r="B8" s="1182"/>
      <c r="C8" s="1171" t="s">
        <v>937</v>
      </c>
      <c r="D8" s="1172"/>
      <c r="E8" s="748">
        <v>357271.30305503367</v>
      </c>
      <c r="F8" s="749"/>
      <c r="G8" s="737"/>
      <c r="H8" s="737"/>
      <c r="I8" s="737"/>
      <c r="J8" s="737"/>
      <c r="K8" s="737"/>
      <c r="L8" s="737"/>
      <c r="M8" s="737"/>
      <c r="N8" s="737"/>
      <c r="O8" s="763"/>
      <c r="P8" s="737"/>
      <c r="Q8" s="1182"/>
      <c r="R8" s="1171" t="s">
        <v>937</v>
      </c>
      <c r="S8" s="1172"/>
      <c r="T8" s="738">
        <v>12180197.886981457</v>
      </c>
      <c r="U8" s="750"/>
      <c r="V8" s="751"/>
      <c r="W8" s="751"/>
      <c r="X8" s="751"/>
      <c r="Y8" s="751"/>
      <c r="Z8" s="751"/>
      <c r="AA8" s="751"/>
      <c r="AB8" s="751"/>
      <c r="AC8" s="751"/>
      <c r="AD8" s="751"/>
      <c r="AE8" s="751"/>
      <c r="AF8" s="751"/>
      <c r="AG8" s="751"/>
      <c r="AH8" s="751"/>
    </row>
    <row r="9" spans="2:34">
      <c r="B9" s="1182"/>
      <c r="C9" s="1171" t="s">
        <v>938</v>
      </c>
      <c r="D9" s="1172"/>
      <c r="E9" s="748">
        <v>759051988785333.88</v>
      </c>
      <c r="F9" s="749"/>
      <c r="G9" s="737"/>
      <c r="H9" s="737"/>
      <c r="I9" s="737"/>
      <c r="J9" s="737"/>
      <c r="K9" s="737"/>
      <c r="L9" s="737"/>
      <c r="M9" s="737"/>
      <c r="N9" s="737"/>
      <c r="O9" s="763"/>
      <c r="P9" s="737"/>
      <c r="Q9" s="1182"/>
      <c r="R9" s="1171" t="s">
        <v>938</v>
      </c>
      <c r="S9" s="1172"/>
      <c r="T9" s="738">
        <v>490993681914342.38</v>
      </c>
      <c r="U9" s="750"/>
      <c r="V9" s="751"/>
      <c r="W9" s="751"/>
      <c r="X9" s="751"/>
      <c r="Y9" s="751"/>
      <c r="Z9" s="751"/>
      <c r="AA9" s="751"/>
      <c r="AB9" s="751"/>
      <c r="AC9" s="751"/>
      <c r="AD9" s="751"/>
      <c r="AE9" s="751"/>
      <c r="AF9" s="751"/>
      <c r="AG9" s="751"/>
      <c r="AH9" s="751"/>
    </row>
    <row r="10" spans="2:34">
      <c r="B10" s="1182"/>
      <c r="C10" s="1171" t="s">
        <v>939</v>
      </c>
      <c r="D10" s="1172"/>
      <c r="E10" s="748">
        <v>27550898.148433089</v>
      </c>
      <c r="F10" s="749"/>
      <c r="G10" s="737"/>
      <c r="H10" s="737"/>
      <c r="I10" s="737"/>
      <c r="J10" s="737"/>
      <c r="K10" s="737"/>
      <c r="L10" s="737"/>
      <c r="M10" s="737"/>
      <c r="N10" s="737"/>
      <c r="O10" s="763"/>
      <c r="P10" s="737"/>
      <c r="Q10" s="1182"/>
      <c r="R10" s="1171" t="s">
        <v>939</v>
      </c>
      <c r="S10" s="1172"/>
      <c r="T10" s="738">
        <v>22158377.240094598</v>
      </c>
      <c r="U10" s="750"/>
      <c r="V10" s="751"/>
      <c r="W10" s="751"/>
      <c r="X10" s="751"/>
      <c r="Y10" s="751"/>
      <c r="Z10" s="751"/>
      <c r="AA10" s="751"/>
      <c r="AB10" s="751"/>
      <c r="AC10" s="751"/>
      <c r="AD10" s="751"/>
      <c r="AE10" s="751"/>
      <c r="AF10" s="751"/>
      <c r="AG10" s="751"/>
      <c r="AH10" s="751"/>
    </row>
    <row r="11" spans="2:34">
      <c r="B11" s="1182"/>
      <c r="C11" s="1171" t="s">
        <v>940</v>
      </c>
      <c r="D11" s="1172"/>
      <c r="E11" s="748">
        <v>-102421257.96588656</v>
      </c>
      <c r="F11" s="749"/>
      <c r="G11" s="737"/>
      <c r="H11" s="737"/>
      <c r="I11" s="737"/>
      <c r="J11" s="737"/>
      <c r="K11" s="737"/>
      <c r="L11" s="737"/>
      <c r="M11" s="737"/>
      <c r="N11" s="737"/>
      <c r="O11" s="763"/>
      <c r="P11" s="737"/>
      <c r="Q11" s="1182"/>
      <c r="R11" s="1171" t="s">
        <v>940</v>
      </c>
      <c r="S11" s="1172"/>
      <c r="T11" s="738">
        <v>-69186361.237976953</v>
      </c>
      <c r="U11" s="750"/>
      <c r="V11" s="751"/>
      <c r="W11" s="751"/>
      <c r="X11" s="751"/>
      <c r="Y11" s="751"/>
      <c r="Z11" s="751"/>
      <c r="AA11" s="751"/>
      <c r="AB11" s="751"/>
      <c r="AC11" s="751"/>
      <c r="AD11" s="751"/>
      <c r="AE11" s="751"/>
      <c r="AF11" s="751"/>
      <c r="AG11" s="751"/>
      <c r="AH11" s="751"/>
    </row>
    <row r="12" spans="2:34">
      <c r="B12" s="1182"/>
      <c r="C12" s="1171" t="s">
        <v>941</v>
      </c>
      <c r="D12" s="1172"/>
      <c r="E12" s="748">
        <v>100623042.61485621</v>
      </c>
      <c r="F12" s="749"/>
      <c r="G12" s="737"/>
      <c r="H12" s="737"/>
      <c r="I12" s="737"/>
      <c r="J12" s="737"/>
      <c r="K12" s="737"/>
      <c r="L12" s="737"/>
      <c r="M12" s="737"/>
      <c r="N12" s="737"/>
      <c r="O12" s="763"/>
      <c r="P12" s="737"/>
      <c r="Q12" s="1182"/>
      <c r="R12" s="1171" t="s">
        <v>941</v>
      </c>
      <c r="S12" s="1172"/>
      <c r="T12" s="738">
        <v>99018936.511687145</v>
      </c>
      <c r="U12" s="750"/>
      <c r="V12" s="751"/>
      <c r="W12" s="751"/>
      <c r="X12" s="751"/>
      <c r="Y12" s="751"/>
      <c r="Z12" s="751"/>
      <c r="AA12" s="751"/>
      <c r="AB12" s="751"/>
      <c r="AC12" s="751"/>
      <c r="AD12" s="751"/>
      <c r="AE12" s="751"/>
      <c r="AF12" s="751"/>
      <c r="AG12" s="751"/>
      <c r="AH12" s="751"/>
    </row>
    <row r="13" spans="2:34">
      <c r="B13" s="1182"/>
      <c r="C13" s="1171" t="s">
        <v>942</v>
      </c>
      <c r="D13" s="1172"/>
      <c r="E13" s="748">
        <v>203044300.58074278</v>
      </c>
      <c r="F13" s="749"/>
      <c r="G13" s="737"/>
      <c r="H13" s="737"/>
      <c r="I13" s="737"/>
      <c r="J13" s="737"/>
      <c r="K13" s="737"/>
      <c r="L13" s="737"/>
      <c r="M13" s="737"/>
      <c r="N13" s="737"/>
      <c r="O13" s="763"/>
      <c r="P13" s="737"/>
      <c r="Q13" s="1182"/>
      <c r="R13" s="1171" t="s">
        <v>942</v>
      </c>
      <c r="S13" s="1172"/>
      <c r="T13" s="738">
        <v>168205297.7496641</v>
      </c>
      <c r="U13" s="750"/>
      <c r="V13" s="751"/>
      <c r="W13" s="751"/>
      <c r="X13" s="751"/>
      <c r="Y13" s="751"/>
      <c r="Z13" s="751"/>
      <c r="AA13" s="751"/>
      <c r="AB13" s="751"/>
      <c r="AC13" s="751"/>
      <c r="AD13" s="751"/>
      <c r="AE13" s="751"/>
      <c r="AF13" s="751"/>
      <c r="AG13" s="751"/>
      <c r="AH13" s="751"/>
    </row>
    <row r="14" spans="2:34">
      <c r="B14" s="1182"/>
      <c r="C14" s="1171" t="s">
        <v>943</v>
      </c>
      <c r="D14" s="1172"/>
      <c r="E14" s="748">
        <v>36721620.205097854</v>
      </c>
      <c r="F14" s="749"/>
      <c r="G14" s="737"/>
      <c r="H14" s="737"/>
      <c r="I14" s="737"/>
      <c r="J14" s="737"/>
      <c r="K14" s="737"/>
      <c r="L14" s="737"/>
      <c r="M14" s="737"/>
      <c r="N14" s="737"/>
      <c r="O14" s="763"/>
      <c r="P14" s="737"/>
      <c r="Q14" s="1182"/>
      <c r="R14" s="1171" t="s">
        <v>943</v>
      </c>
      <c r="S14" s="1172"/>
      <c r="T14" s="738">
        <v>30491578.233846344</v>
      </c>
      <c r="U14" s="750"/>
      <c r="V14" s="751"/>
      <c r="W14" s="751"/>
      <c r="X14" s="751"/>
      <c r="Y14" s="751"/>
      <c r="Z14" s="751"/>
      <c r="AA14" s="751"/>
      <c r="AB14" s="751"/>
      <c r="AC14" s="751"/>
      <c r="AD14" s="751"/>
      <c r="AE14" s="751"/>
      <c r="AF14" s="751"/>
      <c r="AG14" s="751"/>
      <c r="AH14" s="751"/>
    </row>
    <row r="15" spans="2:34">
      <c r="B15" s="1182"/>
      <c r="C15" s="1171" t="s">
        <v>944</v>
      </c>
      <c r="D15" s="1172"/>
      <c r="E15" s="748">
        <v>-3.7230208586531153E-3</v>
      </c>
      <c r="F15" s="752">
        <v>2.4491224264650509E-2</v>
      </c>
      <c r="G15" s="737"/>
      <c r="H15" s="737"/>
      <c r="I15" s="737"/>
      <c r="J15" s="737"/>
      <c r="K15" s="737"/>
      <c r="L15" s="737"/>
      <c r="M15" s="737"/>
      <c r="N15" s="737"/>
      <c r="O15" s="763"/>
      <c r="P15" s="737"/>
      <c r="Q15" s="1182"/>
      <c r="R15" s="1171" t="s">
        <v>944</v>
      </c>
      <c r="S15" s="1172"/>
      <c r="T15" s="738">
        <v>1.5270529039294667E-3</v>
      </c>
      <c r="U15" s="739">
        <v>2.4491224264650509E-2</v>
      </c>
      <c r="V15" s="751"/>
      <c r="W15" s="751"/>
      <c r="X15" s="751"/>
      <c r="Y15" s="751"/>
      <c r="Z15" s="751"/>
      <c r="AA15" s="751"/>
      <c r="AB15" s="751"/>
      <c r="AC15" s="751"/>
      <c r="AD15" s="751"/>
      <c r="AE15" s="751"/>
      <c r="AF15" s="751"/>
      <c r="AG15" s="751"/>
      <c r="AH15" s="751"/>
    </row>
    <row r="16" spans="2:34" ht="13.5" thickBot="1">
      <c r="B16" s="1183"/>
      <c r="C16" s="1142" t="s">
        <v>945</v>
      </c>
      <c r="D16" s="1143"/>
      <c r="E16" s="753">
        <v>8.8025444677671233E-2</v>
      </c>
      <c r="F16" s="754">
        <v>4.8977554446756832E-2</v>
      </c>
      <c r="G16" s="737"/>
      <c r="H16" s="737"/>
      <c r="I16" s="737"/>
      <c r="J16" s="737"/>
      <c r="K16" s="737"/>
      <c r="L16" s="737"/>
      <c r="M16" s="737"/>
      <c r="N16" s="737"/>
      <c r="O16" s="763"/>
      <c r="P16" s="737"/>
      <c r="Q16" s="1183"/>
      <c r="R16" s="1142" t="s">
        <v>945</v>
      </c>
      <c r="S16" s="1143"/>
      <c r="T16" s="755">
        <v>-6.4229083640037529E-2</v>
      </c>
      <c r="U16" s="756">
        <v>4.8977554446756832E-2</v>
      </c>
      <c r="V16" s="751"/>
      <c r="W16" s="751"/>
      <c r="X16" s="751"/>
      <c r="Y16" s="751"/>
      <c r="Z16" s="751"/>
      <c r="AA16" s="751"/>
      <c r="AB16" s="751"/>
      <c r="AC16" s="751"/>
      <c r="AD16" s="751"/>
      <c r="AE16" s="751"/>
      <c r="AF16" s="751"/>
      <c r="AG16" s="751"/>
      <c r="AH16" s="751"/>
    </row>
    <row r="17" spans="2:34" ht="13.5" thickBot="1">
      <c r="V17" s="751"/>
      <c r="W17" s="751"/>
      <c r="X17" s="751"/>
      <c r="Y17" s="751"/>
      <c r="Z17" s="751"/>
      <c r="AA17" s="751"/>
      <c r="AB17" s="751"/>
      <c r="AC17" s="751"/>
      <c r="AD17" s="751"/>
      <c r="AE17" s="751"/>
      <c r="AF17" s="751"/>
      <c r="AG17" s="751"/>
      <c r="AH17" s="751"/>
    </row>
    <row r="18" spans="2:34" ht="12.75" customHeight="1">
      <c r="B18" s="1144" t="s">
        <v>946</v>
      </c>
      <c r="C18" s="1145"/>
      <c r="D18" s="1148">
        <f>_xlfn.NORM.DIST(0,E4,E10,1)</f>
        <v>0.49394243836385809</v>
      </c>
      <c r="E18" s="1150" t="s">
        <v>1029</v>
      </c>
      <c r="F18" s="1151"/>
      <c r="G18" s="1151"/>
      <c r="H18" s="1151"/>
      <c r="I18" s="1151"/>
      <c r="J18" s="1151"/>
      <c r="K18" s="1151"/>
      <c r="L18" s="1151"/>
      <c r="M18" s="1152"/>
      <c r="N18" s="759"/>
      <c r="O18" s="765"/>
      <c r="P18" s="757"/>
      <c r="Q18" s="1144" t="s">
        <v>947</v>
      </c>
      <c r="R18" s="1145"/>
      <c r="S18" s="1148">
        <f>_xlfn.NORM.DIST(0,T4,T10,1)</f>
        <v>0.29255463795785375</v>
      </c>
      <c r="T18" s="1159" t="s">
        <v>1031</v>
      </c>
      <c r="U18" s="1160"/>
      <c r="V18" s="1160"/>
      <c r="W18" s="1160"/>
      <c r="X18" s="1160"/>
      <c r="Y18" s="1160"/>
      <c r="Z18" s="1160"/>
      <c r="AA18" s="1160"/>
      <c r="AB18" s="1161"/>
      <c r="AC18" s="757"/>
      <c r="AD18" s="757"/>
      <c r="AE18" s="757"/>
      <c r="AF18" s="757"/>
      <c r="AG18" s="757"/>
      <c r="AH18" s="757"/>
    </row>
    <row r="19" spans="2:34" ht="12.75" customHeight="1">
      <c r="B19" s="1146"/>
      <c r="C19" s="1147"/>
      <c r="D19" s="1149"/>
      <c r="E19" s="1153"/>
      <c r="F19" s="1154"/>
      <c r="G19" s="1154"/>
      <c r="H19" s="1154"/>
      <c r="I19" s="1154"/>
      <c r="J19" s="1154"/>
      <c r="K19" s="1154"/>
      <c r="L19" s="1154"/>
      <c r="M19" s="1155"/>
      <c r="N19" s="759"/>
      <c r="O19" s="765"/>
      <c r="P19" s="757"/>
      <c r="Q19" s="1146"/>
      <c r="R19" s="1147"/>
      <c r="S19" s="1149"/>
      <c r="T19" s="1162"/>
      <c r="U19" s="1163"/>
      <c r="V19" s="1163"/>
      <c r="W19" s="1163"/>
      <c r="X19" s="1163"/>
      <c r="Y19" s="1163"/>
      <c r="Z19" s="1163"/>
      <c r="AA19" s="1163"/>
      <c r="AB19" s="1164"/>
      <c r="AC19" s="757"/>
      <c r="AD19" s="757"/>
      <c r="AE19" s="757"/>
      <c r="AF19" s="757"/>
      <c r="AG19" s="757"/>
      <c r="AH19" s="757"/>
    </row>
    <row r="20" spans="2:34">
      <c r="B20" s="1146" t="s">
        <v>948</v>
      </c>
      <c r="C20" s="1147"/>
      <c r="D20" s="1149">
        <f>1-D18</f>
        <v>0.50605756163614191</v>
      </c>
      <c r="E20" s="1153"/>
      <c r="F20" s="1154"/>
      <c r="G20" s="1154"/>
      <c r="H20" s="1154"/>
      <c r="I20" s="1154"/>
      <c r="J20" s="1154"/>
      <c r="K20" s="1154"/>
      <c r="L20" s="1154"/>
      <c r="M20" s="1155"/>
      <c r="N20" s="759"/>
      <c r="O20" s="765"/>
      <c r="P20" s="757"/>
      <c r="Q20" s="1146" t="s">
        <v>949</v>
      </c>
      <c r="R20" s="1147"/>
      <c r="S20" s="1149">
        <f>1-S18</f>
        <v>0.70744536204214625</v>
      </c>
      <c r="T20" s="1162"/>
      <c r="U20" s="1163"/>
      <c r="V20" s="1163"/>
      <c r="W20" s="1163"/>
      <c r="X20" s="1163"/>
      <c r="Y20" s="1163"/>
      <c r="Z20" s="1163"/>
      <c r="AA20" s="1163"/>
      <c r="AB20" s="1164"/>
      <c r="AC20" s="757"/>
      <c r="AD20" s="757"/>
      <c r="AE20" s="757"/>
      <c r="AF20" s="757"/>
      <c r="AG20" s="757"/>
      <c r="AH20" s="757"/>
    </row>
    <row r="21" spans="2:34" ht="13.5" thickBot="1">
      <c r="B21" s="1168"/>
      <c r="C21" s="1169"/>
      <c r="D21" s="1170"/>
      <c r="E21" s="1156"/>
      <c r="F21" s="1157"/>
      <c r="G21" s="1157"/>
      <c r="H21" s="1157"/>
      <c r="I21" s="1157"/>
      <c r="J21" s="1157"/>
      <c r="K21" s="1157"/>
      <c r="L21" s="1157"/>
      <c r="M21" s="1158"/>
      <c r="N21" s="759"/>
      <c r="O21" s="765"/>
      <c r="Q21" s="1168"/>
      <c r="R21" s="1169"/>
      <c r="S21" s="1170"/>
      <c r="T21" s="1165"/>
      <c r="U21" s="1166"/>
      <c r="V21" s="1166"/>
      <c r="W21" s="1166"/>
      <c r="X21" s="1166"/>
      <c r="Y21" s="1166"/>
      <c r="Z21" s="1166"/>
      <c r="AA21" s="1166"/>
      <c r="AB21" s="1167"/>
    </row>
    <row r="59" spans="2:28" ht="13.5" thickBot="1"/>
    <row r="60" spans="2:28" ht="12.75" customHeight="1">
      <c r="B60" s="1133" t="s">
        <v>950</v>
      </c>
      <c r="C60" s="1134"/>
      <c r="D60" s="1134"/>
      <c r="E60" s="1134"/>
      <c r="F60" s="1134"/>
      <c r="G60" s="1134"/>
      <c r="H60" s="1134"/>
      <c r="I60" s="1134"/>
      <c r="J60" s="1134"/>
      <c r="K60" s="1134"/>
      <c r="L60" s="1134"/>
      <c r="M60" s="1135"/>
      <c r="N60" s="769"/>
      <c r="O60" s="766"/>
      <c r="P60" s="758"/>
      <c r="Q60" s="1133" t="s">
        <v>950</v>
      </c>
      <c r="R60" s="1134"/>
      <c r="S60" s="1134"/>
      <c r="T60" s="1134"/>
      <c r="U60" s="1134"/>
      <c r="V60" s="1134"/>
      <c r="W60" s="1134"/>
      <c r="X60" s="1134"/>
      <c r="Y60" s="1134"/>
      <c r="Z60" s="1134"/>
      <c r="AA60" s="1134"/>
      <c r="AB60" s="1135"/>
    </row>
    <row r="61" spans="2:28" ht="12.75" customHeight="1">
      <c r="B61" s="1136"/>
      <c r="C61" s="1137"/>
      <c r="D61" s="1137"/>
      <c r="E61" s="1137"/>
      <c r="F61" s="1137"/>
      <c r="G61" s="1137"/>
      <c r="H61" s="1137"/>
      <c r="I61" s="1137"/>
      <c r="J61" s="1137"/>
      <c r="K61" s="1137"/>
      <c r="L61" s="1137"/>
      <c r="M61" s="1138"/>
      <c r="N61" s="769"/>
      <c r="O61" s="766"/>
      <c r="P61" s="758"/>
      <c r="Q61" s="1136"/>
      <c r="R61" s="1137"/>
      <c r="S61" s="1137"/>
      <c r="T61" s="1137"/>
      <c r="U61" s="1137"/>
      <c r="V61" s="1137"/>
      <c r="W61" s="1137"/>
      <c r="X61" s="1137"/>
      <c r="Y61" s="1137"/>
      <c r="Z61" s="1137"/>
      <c r="AA61" s="1137"/>
      <c r="AB61" s="1138"/>
    </row>
    <row r="62" spans="2:28" ht="12.75" customHeight="1">
      <c r="B62" s="1136"/>
      <c r="C62" s="1137"/>
      <c r="D62" s="1137"/>
      <c r="E62" s="1137"/>
      <c r="F62" s="1137"/>
      <c r="G62" s="1137"/>
      <c r="H62" s="1137"/>
      <c r="I62" s="1137"/>
      <c r="J62" s="1137"/>
      <c r="K62" s="1137"/>
      <c r="L62" s="1137"/>
      <c r="M62" s="1138"/>
      <c r="N62" s="769"/>
      <c r="O62" s="766"/>
      <c r="Q62" s="1136"/>
      <c r="R62" s="1137"/>
      <c r="S62" s="1137"/>
      <c r="T62" s="1137"/>
      <c r="U62" s="1137"/>
      <c r="V62" s="1137"/>
      <c r="W62" s="1137"/>
      <c r="X62" s="1137"/>
      <c r="Y62" s="1137"/>
      <c r="Z62" s="1137"/>
      <c r="AA62" s="1137"/>
      <c r="AB62" s="1138"/>
    </row>
    <row r="63" spans="2:28" ht="12.75" customHeight="1" thickBot="1">
      <c r="B63" s="1139"/>
      <c r="C63" s="1140"/>
      <c r="D63" s="1140"/>
      <c r="E63" s="1140"/>
      <c r="F63" s="1140"/>
      <c r="G63" s="1140"/>
      <c r="H63" s="1140"/>
      <c r="I63" s="1140"/>
      <c r="J63" s="1140"/>
      <c r="K63" s="1140"/>
      <c r="L63" s="1140"/>
      <c r="M63" s="1141"/>
      <c r="N63" s="769"/>
      <c r="O63" s="766"/>
      <c r="Q63" s="1139"/>
      <c r="R63" s="1140"/>
      <c r="S63" s="1140"/>
      <c r="T63" s="1140"/>
      <c r="U63" s="1140"/>
      <c r="V63" s="1140"/>
      <c r="W63" s="1140"/>
      <c r="X63" s="1140"/>
      <c r="Y63" s="1140"/>
      <c r="Z63" s="1140"/>
      <c r="AA63" s="1140"/>
      <c r="AB63" s="1141"/>
    </row>
    <row r="154" spans="2:29" ht="13.5" thickBot="1"/>
    <row r="155" spans="2:29" ht="13.5" customHeight="1">
      <c r="B155" s="1112" t="s">
        <v>1030</v>
      </c>
      <c r="C155" s="1113"/>
      <c r="D155" s="1113"/>
      <c r="E155" s="1113"/>
      <c r="F155" s="1113"/>
      <c r="G155" s="1113"/>
      <c r="H155" s="1113"/>
      <c r="I155" s="1113"/>
      <c r="J155" s="1113"/>
      <c r="K155" s="1113"/>
      <c r="L155" s="1113"/>
      <c r="M155" s="1114"/>
      <c r="N155" s="760"/>
      <c r="O155" s="767"/>
      <c r="Q155" s="1112" t="s">
        <v>1032</v>
      </c>
      <c r="R155" s="1113"/>
      <c r="S155" s="1113"/>
      <c r="T155" s="1113"/>
      <c r="U155" s="1113"/>
      <c r="V155" s="1113"/>
      <c r="W155" s="1113"/>
      <c r="X155" s="1113"/>
      <c r="Y155" s="1113"/>
      <c r="Z155" s="1113"/>
      <c r="AA155" s="1113"/>
      <c r="AB155" s="1114"/>
    </row>
    <row r="156" spans="2:29" ht="13.5" customHeight="1" thickBot="1">
      <c r="B156" s="1115"/>
      <c r="C156" s="1116"/>
      <c r="D156" s="1116"/>
      <c r="E156" s="1116"/>
      <c r="F156" s="1116"/>
      <c r="G156" s="1116"/>
      <c r="H156" s="1116"/>
      <c r="I156" s="1116"/>
      <c r="J156" s="1116"/>
      <c r="K156" s="1116"/>
      <c r="L156" s="1116"/>
      <c r="M156" s="1117"/>
      <c r="N156" s="760"/>
      <c r="O156" s="767"/>
      <c r="Q156" s="1115"/>
      <c r="R156" s="1116"/>
      <c r="S156" s="1116"/>
      <c r="T156" s="1116"/>
      <c r="U156" s="1116"/>
      <c r="V156" s="1116"/>
      <c r="W156" s="1116"/>
      <c r="X156" s="1116"/>
      <c r="Y156" s="1116"/>
      <c r="Z156" s="1116"/>
      <c r="AA156" s="1116"/>
      <c r="AB156" s="1117"/>
    </row>
    <row r="158" spans="2:29" ht="13.5" thickBot="1"/>
    <row r="159" spans="2:29" ht="16.149999999999999" customHeight="1">
      <c r="B159" s="1118" t="s">
        <v>951</v>
      </c>
      <c r="C159" s="1121" t="s">
        <v>1034</v>
      </c>
      <c r="D159" s="1122"/>
      <c r="E159" s="1122"/>
      <c r="F159" s="1122"/>
      <c r="G159" s="1122"/>
      <c r="H159" s="1122"/>
      <c r="I159" s="1122"/>
      <c r="J159" s="1122"/>
      <c r="K159" s="1122"/>
      <c r="L159" s="1122"/>
      <c r="M159" s="1123"/>
      <c r="N159" s="761"/>
      <c r="O159" s="768"/>
      <c r="P159" s="743"/>
      <c r="Q159" s="1130" t="s">
        <v>951</v>
      </c>
      <c r="R159" s="1121" t="s">
        <v>1033</v>
      </c>
      <c r="S159" s="1122"/>
      <c r="T159" s="1122"/>
      <c r="U159" s="1122"/>
      <c r="V159" s="1122"/>
      <c r="W159" s="1122"/>
      <c r="X159" s="1122"/>
      <c r="Y159" s="1122"/>
      <c r="Z159" s="1122"/>
      <c r="AA159" s="1122"/>
      <c r="AB159" s="1123"/>
      <c r="AC159" s="743"/>
    </row>
    <row r="160" spans="2:29" ht="16.149999999999999" customHeight="1">
      <c r="B160" s="1119"/>
      <c r="C160" s="1124"/>
      <c r="D160" s="1125"/>
      <c r="E160" s="1125"/>
      <c r="F160" s="1125"/>
      <c r="G160" s="1125"/>
      <c r="H160" s="1125"/>
      <c r="I160" s="1125"/>
      <c r="J160" s="1125"/>
      <c r="K160" s="1125"/>
      <c r="L160" s="1125"/>
      <c r="M160" s="1126"/>
      <c r="N160" s="761"/>
      <c r="O160" s="768"/>
      <c r="P160" s="743"/>
      <c r="Q160" s="1131"/>
      <c r="R160" s="1124"/>
      <c r="S160" s="1125"/>
      <c r="T160" s="1125"/>
      <c r="U160" s="1125"/>
      <c r="V160" s="1125"/>
      <c r="W160" s="1125"/>
      <c r="X160" s="1125"/>
      <c r="Y160" s="1125"/>
      <c r="Z160" s="1125"/>
      <c r="AA160" s="1125"/>
      <c r="AB160" s="1126"/>
      <c r="AC160" s="743"/>
    </row>
    <row r="161" spans="2:29" ht="16.149999999999999" customHeight="1" thickBot="1">
      <c r="B161" s="1120"/>
      <c r="C161" s="1127"/>
      <c r="D161" s="1128"/>
      <c r="E161" s="1128"/>
      <c r="F161" s="1128"/>
      <c r="G161" s="1128"/>
      <c r="H161" s="1128"/>
      <c r="I161" s="1128"/>
      <c r="J161" s="1128"/>
      <c r="K161" s="1128"/>
      <c r="L161" s="1128"/>
      <c r="M161" s="1129"/>
      <c r="N161" s="761"/>
      <c r="O161" s="768"/>
      <c r="P161" s="743"/>
      <c r="Q161" s="1132"/>
      <c r="R161" s="1127"/>
      <c r="S161" s="1128"/>
      <c r="T161" s="1128"/>
      <c r="U161" s="1128"/>
      <c r="V161" s="1128"/>
      <c r="W161" s="1128"/>
      <c r="X161" s="1128"/>
      <c r="Y161" s="1128"/>
      <c r="Z161" s="1128"/>
      <c r="AA161" s="1128"/>
      <c r="AB161" s="1129"/>
      <c r="AC161" s="743"/>
    </row>
  </sheetData>
  <mergeCells count="48">
    <mergeCell ref="B2:F2"/>
    <mergeCell ref="Q2:U2"/>
    <mergeCell ref="B3:D3"/>
    <mergeCell ref="Q3:S3"/>
    <mergeCell ref="B4:B16"/>
    <mergeCell ref="C4:D4"/>
    <mergeCell ref="Q4:Q16"/>
    <mergeCell ref="R4:S4"/>
    <mergeCell ref="C5:C6"/>
    <mergeCell ref="R5:R6"/>
    <mergeCell ref="C7:D7"/>
    <mergeCell ref="R7:S7"/>
    <mergeCell ref="C8:D8"/>
    <mergeCell ref="R8:S8"/>
    <mergeCell ref="C9:D9"/>
    <mergeCell ref="R9:S9"/>
    <mergeCell ref="C10:D10"/>
    <mergeCell ref="R10:S10"/>
    <mergeCell ref="C11:D11"/>
    <mergeCell ref="R11:S11"/>
    <mergeCell ref="C12:D12"/>
    <mergeCell ref="R12:S12"/>
    <mergeCell ref="C13:D13"/>
    <mergeCell ref="R13:S13"/>
    <mergeCell ref="C14:D14"/>
    <mergeCell ref="R14:S14"/>
    <mergeCell ref="C15:D15"/>
    <mergeCell ref="R15:S15"/>
    <mergeCell ref="B60:M63"/>
    <mergeCell ref="Q60:AB63"/>
    <mergeCell ref="C16:D16"/>
    <mergeCell ref="R16:S16"/>
    <mergeCell ref="B18:C19"/>
    <mergeCell ref="D18:D19"/>
    <mergeCell ref="E18:M21"/>
    <mergeCell ref="Q18:R19"/>
    <mergeCell ref="S18:S19"/>
    <mergeCell ref="T18:AB21"/>
    <mergeCell ref="B20:C21"/>
    <mergeCell ref="D20:D21"/>
    <mergeCell ref="Q20:R21"/>
    <mergeCell ref="S20:S21"/>
    <mergeCell ref="B155:M156"/>
    <mergeCell ref="Q155:AB156"/>
    <mergeCell ref="B159:B161"/>
    <mergeCell ref="C159:M161"/>
    <mergeCell ref="Q159:Q161"/>
    <mergeCell ref="R159:AB161"/>
  </mergeCells>
  <pageMargins left="0.7" right="0.7" top="0.75" bottom="0.75" header="0.3" footer="0.3"/>
  <pageSetup paperSize="8" scale="24"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9"/>
  <sheetViews>
    <sheetView showGridLines="0" zoomScale="90" zoomScaleNormal="90" workbookViewId="0">
      <pane xSplit="2" ySplit="6" topLeftCell="C7" activePane="bottomRight" state="frozen"/>
      <selection pane="topRight" activeCell="C1" sqref="C1"/>
      <selection pane="bottomLeft" activeCell="A7" sqref="A7"/>
      <selection pane="bottomRight" activeCell="J45" sqref="J45"/>
    </sheetView>
  </sheetViews>
  <sheetFormatPr defaultColWidth="9.140625" defaultRowHeight="15.75"/>
  <cols>
    <col min="1" max="1" width="5.7109375" style="235" customWidth="1"/>
    <col min="2" max="2" width="36.140625" style="226" customWidth="1"/>
    <col min="3" max="4" width="11.140625" style="226" customWidth="1"/>
    <col min="5" max="5" width="11.140625" style="271" customWidth="1"/>
    <col min="6" max="20" width="11.140625" style="226" customWidth="1"/>
    <col min="21" max="16384" width="9.140625" style="226"/>
  </cols>
  <sheetData>
    <row r="1" spans="1:21">
      <c r="A1" s="895" t="s">
        <v>836</v>
      </c>
      <c r="B1" s="896"/>
      <c r="C1" s="896"/>
      <c r="D1" s="896"/>
      <c r="E1" s="896"/>
      <c r="F1" s="896"/>
      <c r="G1" s="896"/>
      <c r="H1" s="896"/>
      <c r="I1" s="896"/>
      <c r="J1" s="896"/>
      <c r="K1" s="896"/>
      <c r="L1" s="896"/>
      <c r="M1" s="896"/>
      <c r="N1" s="896"/>
      <c r="O1" s="896"/>
      <c r="P1" s="896"/>
      <c r="Q1" s="897"/>
      <c r="R1" s="897"/>
      <c r="S1" s="225"/>
    </row>
    <row r="2" spans="1:21" ht="18.75">
      <c r="A2" s="898" t="s">
        <v>530</v>
      </c>
      <c r="B2" s="899"/>
      <c r="C2" s="899"/>
      <c r="D2" s="899"/>
      <c r="E2" s="899"/>
      <c r="F2" s="899"/>
      <c r="G2" s="899"/>
      <c r="H2" s="899"/>
      <c r="I2" s="899"/>
      <c r="J2" s="899"/>
      <c r="K2" s="899"/>
      <c r="L2" s="899"/>
      <c r="M2" s="899"/>
      <c r="N2" s="899"/>
      <c r="O2" s="899"/>
      <c r="P2" s="899"/>
      <c r="Q2" s="899"/>
      <c r="R2" s="899"/>
      <c r="S2" s="227"/>
    </row>
    <row r="3" spans="1:21">
      <c r="A3" s="900" t="s">
        <v>531</v>
      </c>
      <c r="B3" s="901"/>
      <c r="C3" s="901"/>
      <c r="D3" s="901"/>
      <c r="E3" s="901"/>
      <c r="F3" s="901"/>
      <c r="G3" s="901"/>
      <c r="H3" s="901"/>
      <c r="I3" s="901"/>
      <c r="J3" s="901"/>
      <c r="K3" s="901"/>
      <c r="L3" s="901"/>
      <c r="M3" s="901"/>
      <c r="N3" s="901"/>
      <c r="O3" s="901"/>
      <c r="P3" s="901"/>
      <c r="Q3" s="901"/>
      <c r="R3" s="901"/>
      <c r="S3" s="225"/>
    </row>
    <row r="4" spans="1:21">
      <c r="A4" s="228"/>
      <c r="B4" s="229"/>
      <c r="C4" s="230"/>
      <c r="D4" s="231"/>
      <c r="E4" s="232"/>
      <c r="F4" s="232"/>
      <c r="G4" s="232"/>
      <c r="H4" s="232"/>
      <c r="I4" s="231"/>
      <c r="J4" s="231"/>
      <c r="K4" s="231"/>
      <c r="L4" s="231"/>
      <c r="M4" s="231"/>
      <c r="N4" s="231"/>
      <c r="O4" s="231"/>
      <c r="P4" s="231"/>
      <c r="Q4" s="231"/>
      <c r="R4" s="231"/>
      <c r="S4" s="231"/>
      <c r="T4" s="231"/>
      <c r="U4" s="229"/>
    </row>
    <row r="5" spans="1:21">
      <c r="A5" s="233"/>
      <c r="B5" s="234"/>
      <c r="C5" s="233">
        <v>2008</v>
      </c>
      <c r="D5" s="235">
        <v>2009</v>
      </c>
      <c r="E5" s="235">
        <v>2010</v>
      </c>
      <c r="F5" s="235">
        <v>2011</v>
      </c>
      <c r="G5" s="235">
        <v>2012</v>
      </c>
      <c r="H5" s="235">
        <v>2013</v>
      </c>
      <c r="I5" s="235">
        <v>2014</v>
      </c>
      <c r="J5" s="235">
        <v>2015</v>
      </c>
      <c r="K5" s="235">
        <v>2016</v>
      </c>
      <c r="L5" s="235">
        <v>2017</v>
      </c>
      <c r="M5" s="235">
        <v>2018</v>
      </c>
      <c r="N5" s="235">
        <v>2019</v>
      </c>
      <c r="O5" s="235">
        <v>2020</v>
      </c>
      <c r="P5" s="235">
        <v>2021</v>
      </c>
      <c r="Q5" s="235">
        <v>2022</v>
      </c>
      <c r="R5" s="235">
        <v>2023</v>
      </c>
      <c r="S5" s="235">
        <v>2024</v>
      </c>
      <c r="T5" s="235">
        <v>2025</v>
      </c>
      <c r="U5" s="236">
        <v>2026</v>
      </c>
    </row>
    <row r="6" spans="1:21">
      <c r="A6" s="237"/>
      <c r="B6" s="238"/>
      <c r="C6" s="239" t="s">
        <v>532</v>
      </c>
      <c r="D6" s="240" t="s">
        <v>532</v>
      </c>
      <c r="E6" s="240" t="s">
        <v>532</v>
      </c>
      <c r="F6" s="240" t="s">
        <v>532</v>
      </c>
      <c r="G6" s="240" t="s">
        <v>532</v>
      </c>
      <c r="H6" s="240" t="s">
        <v>532</v>
      </c>
      <c r="I6" s="240" t="s">
        <v>532</v>
      </c>
      <c r="J6" s="240" t="s">
        <v>532</v>
      </c>
      <c r="K6" s="240" t="s">
        <v>532</v>
      </c>
      <c r="L6" s="240" t="s">
        <v>532</v>
      </c>
      <c r="M6" s="240" t="s">
        <v>532</v>
      </c>
      <c r="N6" s="240" t="s">
        <v>532</v>
      </c>
      <c r="O6" s="240" t="s">
        <v>532</v>
      </c>
      <c r="P6" s="240" t="s">
        <v>532</v>
      </c>
      <c r="Q6" s="240" t="s">
        <v>533</v>
      </c>
      <c r="R6" s="240" t="s">
        <v>533</v>
      </c>
      <c r="S6" s="240" t="s">
        <v>533</v>
      </c>
      <c r="T6" s="240" t="s">
        <v>533</v>
      </c>
      <c r="U6" s="241" t="s">
        <v>533</v>
      </c>
    </row>
    <row r="7" spans="1:21">
      <c r="A7" s="228"/>
      <c r="B7" s="236"/>
      <c r="C7" s="242"/>
      <c r="D7" s="243"/>
      <c r="E7" s="243"/>
      <c r="F7" s="243"/>
      <c r="G7" s="243"/>
      <c r="H7" s="243"/>
      <c r="I7" s="243"/>
      <c r="J7" s="243"/>
      <c r="K7" s="243"/>
      <c r="L7" s="243"/>
      <c r="M7" s="243"/>
      <c r="N7" s="243"/>
      <c r="O7" s="243"/>
      <c r="P7" s="243"/>
      <c r="Q7" s="243"/>
      <c r="R7" s="243"/>
      <c r="S7" s="243"/>
      <c r="T7" s="243"/>
      <c r="U7" s="244"/>
    </row>
    <row r="8" spans="1:21">
      <c r="A8" s="233"/>
      <c r="B8" s="245" t="s">
        <v>534</v>
      </c>
      <c r="C8" s="246"/>
      <c r="D8" s="247"/>
      <c r="E8" s="247"/>
      <c r="F8" s="247"/>
      <c r="G8" s="247"/>
      <c r="H8" s="247"/>
      <c r="I8" s="247"/>
      <c r="J8" s="247"/>
      <c r="K8" s="247"/>
      <c r="L8" s="247"/>
      <c r="M8" s="247"/>
      <c r="N8" s="247"/>
      <c r="O8" s="247"/>
      <c r="P8" s="247"/>
      <c r="Q8" s="247"/>
      <c r="R8" s="247"/>
      <c r="S8" s="247"/>
      <c r="T8" s="247"/>
      <c r="U8" s="248"/>
    </row>
    <row r="9" spans="1:21">
      <c r="A9" s="233"/>
      <c r="B9" s="236"/>
      <c r="C9" s="246"/>
      <c r="D9" s="247"/>
      <c r="E9" s="247"/>
      <c r="F9" s="247"/>
      <c r="G9" s="247"/>
      <c r="H9" s="247"/>
      <c r="I9" s="247"/>
      <c r="J9" s="247"/>
      <c r="K9" s="247"/>
      <c r="L9" s="247"/>
      <c r="M9" s="247"/>
      <c r="N9" s="247"/>
      <c r="O9" s="247"/>
      <c r="P9" s="247"/>
      <c r="Q9" s="247"/>
      <c r="R9" s="247"/>
      <c r="S9" s="247"/>
      <c r="T9" s="247"/>
      <c r="U9" s="248"/>
    </row>
    <row r="10" spans="1:21">
      <c r="A10" s="249"/>
      <c r="B10" s="250" t="s">
        <v>535</v>
      </c>
      <c r="C10" s="251">
        <v>4.5876307055422894</v>
      </c>
      <c r="D10" s="252">
        <v>1.6236443564852099</v>
      </c>
      <c r="E10" s="252">
        <v>0.96309892889521187</v>
      </c>
      <c r="F10" s="252">
        <v>3.908765900839728</v>
      </c>
      <c r="G10" s="252">
        <v>3.6150362463793551</v>
      </c>
      <c r="H10" s="252">
        <v>1.3889746916249779</v>
      </c>
      <c r="I10" s="252">
        <v>-6.9055864163058978E-2</v>
      </c>
      <c r="J10" s="252">
        <v>-0.32875013973152623</v>
      </c>
      <c r="K10" s="252">
        <v>-0.51947654708678348</v>
      </c>
      <c r="L10" s="252">
        <v>1.3083863171367671</v>
      </c>
      <c r="M10" s="252">
        <v>2.4942252144670052</v>
      </c>
      <c r="N10" s="252">
        <v>2.6775097969561568</v>
      </c>
      <c r="O10" s="252">
        <v>1.9325023003922803</v>
      </c>
      <c r="P10" s="252">
        <v>3.1603780536386905</v>
      </c>
      <c r="Q10" s="252">
        <v>12.780022596737828</v>
      </c>
      <c r="R10" s="252">
        <v>9.7998069459672479</v>
      </c>
      <c r="S10" s="252">
        <v>5.3337327309215476</v>
      </c>
      <c r="T10" s="252">
        <v>4.153769845228239</v>
      </c>
      <c r="U10" s="253">
        <v>2.1888254005387742</v>
      </c>
    </row>
    <row r="11" spans="1:21">
      <c r="A11" s="233" t="s">
        <v>536</v>
      </c>
      <c r="B11" s="250" t="s">
        <v>537</v>
      </c>
      <c r="C11" s="251">
        <v>4.4711628780762513</v>
      </c>
      <c r="D11" s="252">
        <v>4.2016215413242852</v>
      </c>
      <c r="E11" s="252">
        <v>-0.49220795786220073</v>
      </c>
      <c r="F11" s="252">
        <v>7.0094479758107786</v>
      </c>
      <c r="G11" s="252">
        <v>6.3089693271419112</v>
      </c>
      <c r="H11" s="252">
        <v>0.80300655197669268</v>
      </c>
      <c r="I11" s="252">
        <v>-0.89491195539248558</v>
      </c>
      <c r="J11" s="252">
        <v>-1.5886969964371223</v>
      </c>
      <c r="K11" s="252">
        <v>-1.1862344220351706</v>
      </c>
      <c r="L11" s="252">
        <v>-1.888214946065625</v>
      </c>
      <c r="M11" s="252">
        <v>1.3025080059388294</v>
      </c>
      <c r="N11" s="252">
        <v>3.9175605559262472</v>
      </c>
      <c r="O11" s="252">
        <v>3.2515616904095213</v>
      </c>
      <c r="P11" s="252">
        <v>-0.70421866286205503</v>
      </c>
      <c r="Q11" s="252">
        <v>13.27831750606261</v>
      </c>
      <c r="R11" s="252">
        <v>9.2168166918269669</v>
      </c>
      <c r="S11" s="252">
        <v>15.600279791685523</v>
      </c>
      <c r="T11" s="252">
        <v>9.5696649714110738</v>
      </c>
      <c r="U11" s="253">
        <v>1.051426452805404</v>
      </c>
    </row>
    <row r="12" spans="1:21">
      <c r="A12" s="233"/>
      <c r="B12" s="250" t="s">
        <v>538</v>
      </c>
      <c r="C12" s="251">
        <v>4.6040101483600271</v>
      </c>
      <c r="D12" s="252">
        <v>0.46895995700080295</v>
      </c>
      <c r="E12" s="252">
        <v>1.1836456285359009</v>
      </c>
      <c r="F12" s="252">
        <v>2.315806170195911</v>
      </c>
      <c r="G12" s="252">
        <v>2.7446192801591218</v>
      </c>
      <c r="H12" s="252">
        <v>1.4906230942846044</v>
      </c>
      <c r="I12" s="252">
        <v>0.1579612468407765</v>
      </c>
      <c r="J12" s="252">
        <v>4.3293523907195208E-3</v>
      </c>
      <c r="K12" s="252">
        <v>6.606261000619007E-2</v>
      </c>
      <c r="L12" s="252">
        <v>2.0285315847289764</v>
      </c>
      <c r="M12" s="252">
        <v>2.7462988893904194</v>
      </c>
      <c r="N12" s="252">
        <v>2.3774857529279103</v>
      </c>
      <c r="O12" s="252">
        <v>1.6681411512068367</v>
      </c>
      <c r="P12" s="252">
        <v>3.6095793730812398</v>
      </c>
      <c r="Q12" s="252">
        <v>12.50703532505819</v>
      </c>
      <c r="R12" s="252">
        <v>9.9501228005534958</v>
      </c>
      <c r="S12" s="252">
        <v>3.5722098371105959</v>
      </c>
      <c r="T12" s="252">
        <v>3.1247839557309698</v>
      </c>
      <c r="U12" s="253">
        <v>2.398354233127642</v>
      </c>
    </row>
    <row r="13" spans="1:21">
      <c r="A13" s="233" t="s">
        <v>536</v>
      </c>
      <c r="B13" s="250" t="s">
        <v>539</v>
      </c>
      <c r="C13" s="251">
        <v>8.0206548209614823</v>
      </c>
      <c r="D13" s="252">
        <v>-3.6335803499982444</v>
      </c>
      <c r="E13" s="252">
        <v>1.7127219426252616</v>
      </c>
      <c r="F13" s="252">
        <v>5.3185674227096857</v>
      </c>
      <c r="G13" s="252">
        <v>3.7483907062019428</v>
      </c>
      <c r="H13" s="252">
        <v>3.7364050988188513</v>
      </c>
      <c r="I13" s="252">
        <v>-0.73401850077349229</v>
      </c>
      <c r="J13" s="252">
        <v>-0.39685293727955706</v>
      </c>
      <c r="K13" s="252">
        <v>-0.82690909844265192</v>
      </c>
      <c r="L13" s="252">
        <v>4.231806259839388</v>
      </c>
      <c r="M13" s="252">
        <v>4.2411206706375326</v>
      </c>
      <c r="N13" s="252">
        <v>4.3568221926978401</v>
      </c>
      <c r="O13" s="252">
        <v>2.7820210071904716</v>
      </c>
      <c r="P13" s="252">
        <v>1.8831708310725448</v>
      </c>
      <c r="Q13" s="252">
        <v>19.263691837441321</v>
      </c>
      <c r="R13" s="252">
        <v>18.919249055378607</v>
      </c>
      <c r="S13" s="252">
        <v>5.4001212239413565</v>
      </c>
      <c r="T13" s="252">
        <v>4.4777957320893735</v>
      </c>
      <c r="U13" s="253">
        <v>3.7010500486923892</v>
      </c>
    </row>
    <row r="14" spans="1:21">
      <c r="A14" s="233"/>
      <c r="B14" s="250" t="s">
        <v>540</v>
      </c>
      <c r="C14" s="251">
        <v>3.8213324545504523</v>
      </c>
      <c r="D14" s="252">
        <v>1.4250572006718532</v>
      </c>
      <c r="E14" s="252">
        <v>0.87692418028779695</v>
      </c>
      <c r="F14" s="252">
        <v>1.5266090148782885</v>
      </c>
      <c r="G14" s="252">
        <v>2.5260370247765618</v>
      </c>
      <c r="H14" s="252">
        <v>0.9661475796636898</v>
      </c>
      <c r="I14" s="252">
        <v>0.36037587326578358</v>
      </c>
      <c r="J14" s="252">
        <v>0.12439182813095417</v>
      </c>
      <c r="K14" s="252">
        <v>0.2692827897696759</v>
      </c>
      <c r="L14" s="252">
        <v>1.3934581321679573</v>
      </c>
      <c r="M14" s="252">
        <v>2.3593189910797729</v>
      </c>
      <c r="N14" s="252">
        <v>1.9025804371182842</v>
      </c>
      <c r="O14" s="252">
        <v>1.3854120019841876</v>
      </c>
      <c r="P14" s="252">
        <v>4.0379699255253199</v>
      </c>
      <c r="Q14" s="252">
        <v>10.53789148123585</v>
      </c>
      <c r="R14" s="252">
        <v>7.4570230157458006</v>
      </c>
      <c r="S14" s="252">
        <v>3.0453030019477856</v>
      </c>
      <c r="T14" s="252">
        <v>2.7357265768970684</v>
      </c>
      <c r="U14" s="253">
        <v>2.0216963050500025</v>
      </c>
    </row>
    <row r="15" spans="1:21">
      <c r="A15" s="233" t="s">
        <v>536</v>
      </c>
      <c r="B15" s="250" t="s">
        <v>541</v>
      </c>
      <c r="C15" s="251">
        <v>6.6319291550467119</v>
      </c>
      <c r="D15" s="252">
        <v>-16.253336086321479</v>
      </c>
      <c r="E15" s="252">
        <v>11.478089359254163</v>
      </c>
      <c r="F15" s="252">
        <v>15.463250411605213</v>
      </c>
      <c r="G15" s="252">
        <v>5.6732003887600024</v>
      </c>
      <c r="H15" s="252">
        <v>-3.4902455725774995</v>
      </c>
      <c r="I15" s="252">
        <v>-2.7573925806384292</v>
      </c>
      <c r="J15" s="252">
        <v>-12.730784362816994</v>
      </c>
      <c r="K15" s="252">
        <v>-7.1492975294676908</v>
      </c>
      <c r="L15" s="252">
        <v>7.6026695857904558</v>
      </c>
      <c r="M15" s="252">
        <v>7.332140981885038</v>
      </c>
      <c r="N15" s="252">
        <v>-1.6915727116376789</v>
      </c>
      <c r="O15" s="252">
        <v>-11.57668024756634</v>
      </c>
      <c r="P15" s="252">
        <v>17.361971664045761</v>
      </c>
      <c r="Q15" s="252">
        <v>26.091308071654986</v>
      </c>
      <c r="R15" s="252">
        <v>-10.206182576212107</v>
      </c>
      <c r="S15" s="252">
        <v>-2.688672717361662</v>
      </c>
      <c r="T15" s="252">
        <v>-0.87041171932369377</v>
      </c>
      <c r="U15" s="253">
        <v>-0.60644113658191445</v>
      </c>
    </row>
    <row r="16" spans="1:21">
      <c r="A16" s="233" t="s">
        <v>536</v>
      </c>
      <c r="B16" s="250" t="s">
        <v>542</v>
      </c>
      <c r="C16" s="251">
        <v>0.47292770933651251</v>
      </c>
      <c r="D16" s="252">
        <v>-1.6083417888456908</v>
      </c>
      <c r="E16" s="252">
        <v>-1.4109817179677853</v>
      </c>
      <c r="F16" s="252">
        <v>-0.28975910358571833</v>
      </c>
      <c r="G16" s="252">
        <v>2.060897014808627</v>
      </c>
      <c r="H16" s="252">
        <v>0.95155494553009756</v>
      </c>
      <c r="I16" s="252">
        <v>0.16729815413425442</v>
      </c>
      <c r="J16" s="252">
        <v>0.44213930396062029</v>
      </c>
      <c r="K16" s="252">
        <v>0.11670987385077325</v>
      </c>
      <c r="L16" s="252">
        <v>0.55712079970713368</v>
      </c>
      <c r="M16" s="252">
        <v>1.3391797128520011</v>
      </c>
      <c r="N16" s="252">
        <v>1.4030793105535899</v>
      </c>
      <c r="O16" s="252">
        <v>1.5446785741446867</v>
      </c>
      <c r="P16" s="252">
        <v>2.4020691747572931</v>
      </c>
      <c r="Q16" s="252">
        <v>7.5986398457600579</v>
      </c>
      <c r="R16" s="252">
        <v>6.2857728813135116</v>
      </c>
      <c r="S16" s="252">
        <v>2.3921981896262157</v>
      </c>
      <c r="T16" s="252">
        <v>2.4767788568408111</v>
      </c>
      <c r="U16" s="253">
        <v>1.697879054548701</v>
      </c>
    </row>
    <row r="17" spans="1:21">
      <c r="A17" s="233" t="s">
        <v>536</v>
      </c>
      <c r="B17" s="250" t="s">
        <v>543</v>
      </c>
      <c r="C17" s="251">
        <v>7.3581704008733206</v>
      </c>
      <c r="D17" s="252">
        <v>6.8770071780209552</v>
      </c>
      <c r="E17" s="252">
        <v>2.3030839660141966</v>
      </c>
      <c r="F17" s="252">
        <v>2.2351229662913141</v>
      </c>
      <c r="G17" s="252">
        <v>2.7311331162836794</v>
      </c>
      <c r="H17" s="252">
        <v>1.4061910982142045</v>
      </c>
      <c r="I17" s="252">
        <v>0.8338304328656454</v>
      </c>
      <c r="J17" s="252">
        <v>0.79049688988346301</v>
      </c>
      <c r="K17" s="252">
        <v>0.95144929077257689</v>
      </c>
      <c r="L17" s="252">
        <v>1.8579999325895713</v>
      </c>
      <c r="M17" s="252">
        <v>3.0004715381242608</v>
      </c>
      <c r="N17" s="252">
        <v>2.8658793732108778</v>
      </c>
      <c r="O17" s="252">
        <v>2.6443239352073711</v>
      </c>
      <c r="P17" s="252">
        <v>0.46835676781382674</v>
      </c>
      <c r="Q17" s="252">
        <v>12.784696607945278</v>
      </c>
      <c r="R17" s="252">
        <v>9.4752921278490998</v>
      </c>
      <c r="S17" s="252">
        <v>4.3332932431974891</v>
      </c>
      <c r="T17" s="252">
        <v>3.3687309505668672</v>
      </c>
      <c r="U17" s="253">
        <v>2.6433278864936183</v>
      </c>
    </row>
    <row r="18" spans="1:21">
      <c r="A18" s="233"/>
      <c r="B18" s="254"/>
      <c r="C18" s="255"/>
      <c r="D18" s="256"/>
      <c r="E18" s="256"/>
      <c r="F18" s="256"/>
      <c r="G18" s="256"/>
      <c r="H18" s="256"/>
      <c r="I18" s="256"/>
      <c r="J18" s="256"/>
      <c r="K18" s="256"/>
      <c r="L18" s="256"/>
      <c r="M18" s="256"/>
      <c r="N18" s="256"/>
      <c r="O18" s="256"/>
      <c r="P18" s="256"/>
      <c r="Q18" s="256"/>
      <c r="R18" s="256"/>
      <c r="S18" s="252"/>
      <c r="T18" s="252"/>
      <c r="U18" s="253"/>
    </row>
    <row r="19" spans="1:21">
      <c r="A19" s="233"/>
      <c r="B19" s="250" t="s">
        <v>544</v>
      </c>
      <c r="C19" s="251">
        <v>3.9361763407000483</v>
      </c>
      <c r="D19" s="252">
        <v>0.92553250447988678</v>
      </c>
      <c r="E19" s="252">
        <v>0.69464782545025638</v>
      </c>
      <c r="F19" s="252">
        <v>4.080964889159544</v>
      </c>
      <c r="G19" s="252">
        <v>3.7419332302882635</v>
      </c>
      <c r="H19" s="252">
        <v>1.4638293573966177</v>
      </c>
      <c r="I19" s="252">
        <v>-0.10204335598197334</v>
      </c>
      <c r="J19" s="252">
        <v>-0.34381384224426714</v>
      </c>
      <c r="K19" s="252">
        <v>-0.48166666666666913</v>
      </c>
      <c r="L19" s="252">
        <v>1.3908660045887755</v>
      </c>
      <c r="M19" s="252">
        <v>2.5329732497543</v>
      </c>
      <c r="N19" s="252">
        <v>2.7716472009665871</v>
      </c>
      <c r="O19" s="252">
        <v>2.0142486539019178</v>
      </c>
      <c r="P19" s="252">
        <v>2.8195849755302982</v>
      </c>
      <c r="Q19" s="252">
        <v>12.14267724502065</v>
      </c>
      <c r="R19" s="252">
        <v>9.7277641141920945</v>
      </c>
      <c r="S19" s="252">
        <v>5.4846777153888304</v>
      </c>
      <c r="T19" s="252">
        <v>4.3423148545843615</v>
      </c>
      <c r="U19" s="253">
        <v>2.1819114588192079</v>
      </c>
    </row>
    <row r="20" spans="1:21">
      <c r="A20" s="233"/>
      <c r="B20" s="250"/>
      <c r="C20" s="251"/>
      <c r="D20" s="252"/>
      <c r="E20" s="252"/>
      <c r="F20" s="252"/>
      <c r="G20" s="252"/>
      <c r="H20" s="252"/>
      <c r="I20" s="252"/>
      <c r="J20" s="252"/>
      <c r="K20" s="252"/>
      <c r="L20" s="252"/>
      <c r="M20" s="252"/>
      <c r="N20" s="252"/>
      <c r="O20" s="252"/>
      <c r="P20" s="252"/>
      <c r="Q20" s="252"/>
      <c r="R20" s="252"/>
      <c r="S20" s="252"/>
      <c r="T20" s="252"/>
      <c r="U20" s="253"/>
    </row>
    <row r="21" spans="1:21">
      <c r="A21" s="233"/>
      <c r="B21" s="250" t="s">
        <v>545</v>
      </c>
      <c r="C21" s="251">
        <v>4.4000000000000039</v>
      </c>
      <c r="D21" s="252">
        <v>1.2999999999999901</v>
      </c>
      <c r="E21" s="252">
        <v>0.8999999999999897</v>
      </c>
      <c r="F21" s="252">
        <v>4.2727846769101241</v>
      </c>
      <c r="G21" s="252">
        <v>3.7293096487686528</v>
      </c>
      <c r="H21" s="252">
        <v>1.4254439309170586</v>
      </c>
      <c r="I21" s="252">
        <v>2.8779739063700127E-2</v>
      </c>
      <c r="J21" s="252">
        <v>-0.19180972475305591</v>
      </c>
      <c r="K21" s="252">
        <v>-0.6774286537907237</v>
      </c>
      <c r="L21" s="252">
        <v>1.2093068253277384</v>
      </c>
      <c r="M21" s="252">
        <v>2.5378769774888843</v>
      </c>
      <c r="N21" s="252">
        <v>3.0810105341661176</v>
      </c>
      <c r="O21" s="252">
        <v>2.1656794031200466</v>
      </c>
      <c r="P21" s="252">
        <v>2.9372679490010878</v>
      </c>
      <c r="Q21" s="252">
        <v>13.601619329058678</v>
      </c>
      <c r="R21" s="252">
        <v>10.167879983375204</v>
      </c>
      <c r="S21" s="252">
        <v>5.9767806368791643</v>
      </c>
      <c r="T21" s="252">
        <v>4.4456807837560453</v>
      </c>
      <c r="U21" s="253">
        <v>2.2021291955989009</v>
      </c>
    </row>
    <row r="22" spans="1:21">
      <c r="A22" s="233"/>
      <c r="B22" s="250"/>
      <c r="C22" s="251"/>
      <c r="D22" s="252"/>
      <c r="E22" s="252"/>
      <c r="F22" s="252"/>
      <c r="G22" s="252"/>
      <c r="H22" s="252"/>
      <c r="I22" s="252"/>
      <c r="J22" s="252"/>
      <c r="K22" s="252"/>
      <c r="L22" s="252"/>
      <c r="M22" s="252"/>
      <c r="N22" s="252"/>
      <c r="O22" s="252"/>
      <c r="P22" s="252"/>
      <c r="Q22" s="252"/>
      <c r="R22" s="252"/>
      <c r="S22" s="252"/>
      <c r="T22" s="252"/>
      <c r="U22" s="253"/>
    </row>
    <row r="23" spans="1:21">
      <c r="A23" s="233"/>
      <c r="B23" s="250" t="s">
        <v>546</v>
      </c>
      <c r="C23" s="251"/>
      <c r="D23" s="252"/>
      <c r="E23" s="252"/>
      <c r="F23" s="252">
        <v>4.1217501585288474</v>
      </c>
      <c r="G23" s="252">
        <v>3.7758830694275325</v>
      </c>
      <c r="H23" s="252">
        <v>1.7605633802816989</v>
      </c>
      <c r="I23" s="252">
        <v>-0.28835063437139263</v>
      </c>
      <c r="J23" s="252">
        <v>-0.1735106998264957</v>
      </c>
      <c r="K23" s="252">
        <v>-0.63731170336036591</v>
      </c>
      <c r="L23" s="252">
        <v>0.69970845481048816</v>
      </c>
      <c r="M23" s="252">
        <v>2.7214823393167498</v>
      </c>
      <c r="N23" s="252">
        <v>2.5366403607666399</v>
      </c>
      <c r="O23" s="252">
        <v>2.1990104452996206</v>
      </c>
      <c r="P23" s="252">
        <v>1.5255513717052027</v>
      </c>
      <c r="Q23" s="252">
        <v>11.7</v>
      </c>
      <c r="R23" s="252">
        <v>12.661566465229622</v>
      </c>
      <c r="S23" s="252">
        <v>5.9244592113121275</v>
      </c>
      <c r="T23" s="252">
        <v>4.4650251780939509</v>
      </c>
      <c r="U23" s="253">
        <v>2.2967955589508149</v>
      </c>
    </row>
    <row r="24" spans="1:21">
      <c r="A24" s="237"/>
      <c r="B24" s="250"/>
      <c r="C24" s="258"/>
      <c r="D24" s="259"/>
      <c r="E24" s="259"/>
      <c r="F24" s="259"/>
      <c r="G24" s="259"/>
      <c r="H24" s="259"/>
      <c r="I24" s="259"/>
      <c r="J24" s="259"/>
      <c r="K24" s="259"/>
      <c r="L24" s="259"/>
      <c r="M24" s="259"/>
      <c r="N24" s="259"/>
      <c r="O24" s="259"/>
      <c r="P24" s="259"/>
      <c r="Q24" s="259"/>
      <c r="R24" s="259"/>
      <c r="S24" s="259"/>
      <c r="T24" s="259"/>
      <c r="U24" s="260"/>
    </row>
    <row r="25" spans="1:21">
      <c r="A25" s="233"/>
      <c r="B25" s="261"/>
      <c r="C25" s="262"/>
      <c r="D25" s="263"/>
      <c r="E25" s="263"/>
      <c r="F25" s="263"/>
      <c r="G25" s="263"/>
      <c r="H25" s="263"/>
      <c r="I25" s="263"/>
      <c r="J25" s="263"/>
      <c r="K25" s="263"/>
      <c r="L25" s="263"/>
      <c r="M25" s="263"/>
      <c r="N25" s="263"/>
      <c r="O25" s="263"/>
      <c r="P25" s="263"/>
      <c r="Q25" s="263"/>
      <c r="R25" s="263"/>
      <c r="S25" s="263"/>
      <c r="T25" s="263"/>
      <c r="U25" s="264"/>
    </row>
    <row r="26" spans="1:21">
      <c r="A26" s="233"/>
      <c r="B26" s="245" t="s">
        <v>547</v>
      </c>
      <c r="C26" s="251"/>
      <c r="D26" s="252"/>
      <c r="E26" s="252"/>
      <c r="F26" s="252"/>
      <c r="G26" s="252"/>
      <c r="H26" s="252"/>
      <c r="I26" s="252"/>
      <c r="J26" s="252"/>
      <c r="K26" s="252"/>
      <c r="L26" s="252"/>
      <c r="M26" s="252"/>
      <c r="N26" s="252"/>
      <c r="O26" s="252"/>
      <c r="P26" s="252"/>
      <c r="Q26" s="252"/>
      <c r="R26" s="252"/>
      <c r="S26" s="252"/>
      <c r="T26" s="252"/>
      <c r="U26" s="253"/>
    </row>
    <row r="27" spans="1:21">
      <c r="A27" s="233"/>
      <c r="B27" s="250"/>
      <c r="C27" s="251"/>
      <c r="D27" s="252"/>
      <c r="E27" s="252"/>
      <c r="F27" s="252"/>
      <c r="G27" s="252"/>
      <c r="H27" s="252"/>
      <c r="I27" s="252"/>
      <c r="J27" s="252"/>
      <c r="K27" s="252"/>
      <c r="L27" s="252"/>
      <c r="M27" s="252"/>
      <c r="N27" s="252"/>
      <c r="O27" s="252"/>
      <c r="P27" s="252"/>
      <c r="Q27" s="252"/>
      <c r="R27" s="252"/>
      <c r="S27" s="252"/>
      <c r="T27" s="252"/>
      <c r="U27" s="253"/>
    </row>
    <row r="28" spans="1:21">
      <c r="A28" s="233"/>
      <c r="B28" s="250" t="s">
        <v>548</v>
      </c>
      <c r="C28" s="251">
        <v>2.8580749592820753</v>
      </c>
      <c r="D28" s="252">
        <v>-1.1612222898941038</v>
      </c>
      <c r="E28" s="252">
        <v>0.53269633341479494</v>
      </c>
      <c r="F28" s="252">
        <v>1.6768312709333877</v>
      </c>
      <c r="G28" s="252">
        <v>1.2603676526169227</v>
      </c>
      <c r="H28" s="252">
        <v>0.50937911951882686</v>
      </c>
      <c r="I28" s="252">
        <v>-0.19278059413019299</v>
      </c>
      <c r="J28" s="252">
        <v>-0.21650452565193934</v>
      </c>
      <c r="K28" s="252">
        <v>-0.51229585589450677</v>
      </c>
      <c r="L28" s="252">
        <v>1.2158019881251869</v>
      </c>
      <c r="M28" s="252">
        <v>2.0347877952904492</v>
      </c>
      <c r="N28" s="252">
        <v>2.494293465654307</v>
      </c>
      <c r="O28" s="252">
        <v>2.3706577836335452</v>
      </c>
      <c r="P28" s="252">
        <v>2.3833136169670421</v>
      </c>
      <c r="Q28" s="252">
        <v>7.5300534303745614</v>
      </c>
      <c r="R28" s="252">
        <v>7.7740547297875162</v>
      </c>
      <c r="S28" s="252">
        <v>5.4598888816368651</v>
      </c>
      <c r="T28" s="252">
        <v>4.09345139267141</v>
      </c>
      <c r="U28" s="253">
        <v>2.5126916031902535</v>
      </c>
    </row>
    <row r="29" spans="1:21">
      <c r="A29" s="233"/>
      <c r="B29" s="250"/>
      <c r="C29" s="251"/>
      <c r="D29" s="252"/>
      <c r="E29" s="252"/>
      <c r="F29" s="252"/>
      <c r="G29" s="252"/>
      <c r="H29" s="252"/>
      <c r="I29" s="252"/>
      <c r="J29" s="252"/>
      <c r="K29" s="252"/>
      <c r="L29" s="252"/>
      <c r="M29" s="252"/>
      <c r="N29" s="252"/>
      <c r="O29" s="252"/>
      <c r="P29" s="252"/>
      <c r="Q29" s="252"/>
      <c r="R29" s="252"/>
      <c r="S29" s="252"/>
      <c r="T29" s="252"/>
      <c r="U29" s="253"/>
    </row>
    <row r="30" spans="1:21">
      <c r="A30" s="233"/>
      <c r="B30" s="250" t="s">
        <v>549</v>
      </c>
      <c r="C30" s="251">
        <v>4.481573549235196</v>
      </c>
      <c r="D30" s="252">
        <v>5.5384353614273962E-2</v>
      </c>
      <c r="E30" s="252">
        <v>1.0044610576323887</v>
      </c>
      <c r="F30" s="252">
        <v>3.8730526951081812</v>
      </c>
      <c r="G30" s="252">
        <v>3.4312400963067313</v>
      </c>
      <c r="H30" s="252">
        <v>1.3325416469186946</v>
      </c>
      <c r="I30" s="252">
        <v>-9.1024607148704195E-2</v>
      </c>
      <c r="J30" s="252">
        <v>-0.11487468631581343</v>
      </c>
      <c r="K30" s="252">
        <v>-0.31799017778754157</v>
      </c>
      <c r="L30" s="252">
        <v>1.4049560286474305</v>
      </c>
      <c r="M30" s="252">
        <v>2.3103896551299519</v>
      </c>
      <c r="N30" s="252">
        <v>2.7303666789154857</v>
      </c>
      <c r="O30" s="252">
        <v>2.1673451213708006</v>
      </c>
      <c r="P30" s="252">
        <v>3.2524755360404667</v>
      </c>
      <c r="Q30" s="252">
        <v>13.194681969328759</v>
      </c>
      <c r="R30" s="252">
        <v>9.4767397788820595</v>
      </c>
      <c r="S30" s="252">
        <v>5.2660055602479439</v>
      </c>
      <c r="T30" s="252">
        <v>4.3233319786641466</v>
      </c>
      <c r="U30" s="253">
        <v>2.2830210981927612</v>
      </c>
    </row>
    <row r="31" spans="1:21">
      <c r="A31" s="233"/>
      <c r="B31" s="250"/>
      <c r="C31" s="251"/>
      <c r="D31" s="252"/>
      <c r="E31" s="252"/>
      <c r="F31" s="252"/>
      <c r="G31" s="252"/>
      <c r="H31" s="252"/>
      <c r="I31" s="252"/>
      <c r="J31" s="252"/>
      <c r="K31" s="252"/>
      <c r="L31" s="252"/>
      <c r="M31" s="252"/>
      <c r="N31" s="252"/>
      <c r="O31" s="252"/>
      <c r="P31" s="252"/>
      <c r="Q31" s="252"/>
      <c r="R31" s="252"/>
      <c r="S31" s="252"/>
      <c r="T31" s="252"/>
      <c r="U31" s="253"/>
    </row>
    <row r="32" spans="1:21">
      <c r="A32" s="233"/>
      <c r="B32" s="250" t="s">
        <v>550</v>
      </c>
      <c r="C32" s="251">
        <v>4.5099219583472516</v>
      </c>
      <c r="D32" s="252">
        <v>0.53731810888062448</v>
      </c>
      <c r="E32" s="252">
        <v>0.86759632479538329</v>
      </c>
      <c r="F32" s="252">
        <v>2.008509828374061</v>
      </c>
      <c r="G32" s="252">
        <v>1.8750462146829516</v>
      </c>
      <c r="H32" s="252">
        <v>1.0855575546953267</v>
      </c>
      <c r="I32" s="252">
        <v>0.30795139611772271</v>
      </c>
      <c r="J32" s="252">
        <v>0.69315659020976472</v>
      </c>
      <c r="K32" s="252">
        <v>1.2775578699509627</v>
      </c>
      <c r="L32" s="252">
        <v>3.1925424732910379</v>
      </c>
      <c r="M32" s="252">
        <v>4.2394368382836056</v>
      </c>
      <c r="N32" s="252">
        <v>5.551049797983465</v>
      </c>
      <c r="O32" s="252">
        <v>6.5080366147094004</v>
      </c>
      <c r="P32" s="252">
        <v>3.8851390484931692</v>
      </c>
      <c r="Q32" s="252">
        <v>10.087040282094485</v>
      </c>
      <c r="R32" s="252">
        <v>9.2061433471771537</v>
      </c>
      <c r="S32" s="252">
        <v>6.7016509959872517</v>
      </c>
      <c r="T32" s="252">
        <v>5.6134505341817853</v>
      </c>
      <c r="U32" s="253">
        <v>4.3275574418803808</v>
      </c>
    </row>
    <row r="33" spans="1:21">
      <c r="A33" s="233"/>
      <c r="B33" s="250"/>
      <c r="C33" s="251"/>
      <c r="D33" s="252"/>
      <c r="E33" s="252"/>
      <c r="F33" s="252"/>
      <c r="G33" s="252"/>
      <c r="H33" s="252"/>
      <c r="I33" s="252"/>
      <c r="J33" s="252"/>
      <c r="K33" s="252"/>
      <c r="L33" s="252"/>
      <c r="M33" s="252"/>
      <c r="N33" s="252"/>
      <c r="O33" s="252"/>
      <c r="P33" s="252"/>
      <c r="Q33" s="252"/>
      <c r="R33" s="252"/>
      <c r="S33" s="252"/>
      <c r="T33" s="252"/>
      <c r="U33" s="253"/>
    </row>
    <row r="34" spans="1:21">
      <c r="A34" s="233"/>
      <c r="B34" s="250" t="s">
        <v>551</v>
      </c>
      <c r="C34" s="251">
        <v>1.9401613653068139</v>
      </c>
      <c r="D34" s="252">
        <v>-2.1545346439085233</v>
      </c>
      <c r="E34" s="252">
        <v>-0.14577533025331713</v>
      </c>
      <c r="F34" s="252">
        <v>0.89080600204121119</v>
      </c>
      <c r="G34" s="252">
        <v>0.15510309190609473</v>
      </c>
      <c r="H34" s="252">
        <v>0.40791060772011889</v>
      </c>
      <c r="I34" s="252">
        <v>-0.41058170971403074</v>
      </c>
      <c r="J34" s="252">
        <v>-5.0551681035237994E-2</v>
      </c>
      <c r="K34" s="252">
        <v>-0.76710669350843474</v>
      </c>
      <c r="L34" s="252">
        <v>1.6004304294108485</v>
      </c>
      <c r="M34" s="252">
        <v>2.2843520229080205</v>
      </c>
      <c r="N34" s="252">
        <v>1.207844679407355</v>
      </c>
      <c r="O34" s="252">
        <v>0.69703275148040866</v>
      </c>
      <c r="P34" s="252">
        <v>2.1884666112512052</v>
      </c>
      <c r="Q34" s="252">
        <v>10.26851886277087</v>
      </c>
      <c r="R34" s="252">
        <v>7.4816302475193996</v>
      </c>
      <c r="S34" s="252">
        <v>4.5782668244921609</v>
      </c>
      <c r="T34" s="252">
        <v>4.0563794909588724</v>
      </c>
      <c r="U34" s="253">
        <v>2.2123217647922466</v>
      </c>
    </row>
    <row r="35" spans="1:21">
      <c r="A35" s="233"/>
      <c r="B35" s="265"/>
      <c r="C35" s="233"/>
      <c r="D35" s="235"/>
      <c r="E35" s="235"/>
      <c r="F35" s="235"/>
      <c r="G35" s="235"/>
      <c r="H35" s="235"/>
      <c r="I35" s="235"/>
      <c r="J35" s="235"/>
      <c r="K35" s="235"/>
      <c r="L35" s="235"/>
      <c r="M35" s="235"/>
      <c r="N35" s="235"/>
      <c r="O35" s="235"/>
      <c r="P35" s="235"/>
      <c r="Q35" s="235"/>
      <c r="R35" s="235"/>
      <c r="S35" s="235"/>
      <c r="T35" s="235"/>
      <c r="U35" s="236"/>
    </row>
    <row r="36" spans="1:21">
      <c r="A36" s="233"/>
      <c r="B36" s="250" t="s">
        <v>552</v>
      </c>
      <c r="C36" s="251">
        <v>1.3315384109522155</v>
      </c>
      <c r="D36" s="252">
        <v>-5.1510926478510966</v>
      </c>
      <c r="E36" s="252">
        <v>2.8916701439634096</v>
      </c>
      <c r="F36" s="252">
        <v>3.9471735455814283</v>
      </c>
      <c r="G36" s="252">
        <v>1.2374442483482406</v>
      </c>
      <c r="H36" s="252">
        <v>-1.8469143204819072</v>
      </c>
      <c r="I36" s="252">
        <v>-3.3136383408854497</v>
      </c>
      <c r="J36" s="252">
        <v>-1.3828189265974511</v>
      </c>
      <c r="K36" s="252">
        <v>-1.4696536881596778</v>
      </c>
      <c r="L36" s="252">
        <v>2.2181960338146345</v>
      </c>
      <c r="M36" s="252">
        <v>1.7843083396688719</v>
      </c>
      <c r="N36" s="252">
        <v>-2.5613181154782172E-2</v>
      </c>
      <c r="O36" s="252">
        <v>-2.2219462971359238</v>
      </c>
      <c r="P36" s="252">
        <v>5.1197791317096897</v>
      </c>
      <c r="Q36" s="252">
        <v>16.093258165482393</v>
      </c>
      <c r="R36" s="252">
        <v>5.5343076935729485</v>
      </c>
      <c r="S36" s="252">
        <v>3.6209859500783814</v>
      </c>
      <c r="T36" s="252">
        <v>3.3425955799490037</v>
      </c>
      <c r="U36" s="253">
        <v>2.4762473006368912</v>
      </c>
    </row>
    <row r="37" spans="1:21">
      <c r="A37" s="233"/>
      <c r="B37" s="250"/>
      <c r="C37" s="251"/>
      <c r="D37" s="252"/>
      <c r="E37" s="252"/>
      <c r="F37" s="252"/>
      <c r="G37" s="252"/>
      <c r="H37" s="252"/>
      <c r="I37" s="252"/>
      <c r="J37" s="252"/>
      <c r="K37" s="252"/>
      <c r="L37" s="252"/>
      <c r="M37" s="252"/>
      <c r="N37" s="252"/>
      <c r="O37" s="252"/>
      <c r="P37" s="252"/>
      <c r="Q37" s="252"/>
      <c r="R37" s="252"/>
      <c r="S37" s="252"/>
      <c r="T37" s="252"/>
      <c r="U37" s="253"/>
    </row>
    <row r="38" spans="1:21">
      <c r="A38" s="233"/>
      <c r="B38" s="250" t="s">
        <v>553</v>
      </c>
      <c r="C38" s="251">
        <v>3.0173403166024793</v>
      </c>
      <c r="D38" s="252">
        <v>-4.0613116102297457</v>
      </c>
      <c r="E38" s="252">
        <v>3.7454888743739145</v>
      </c>
      <c r="F38" s="252">
        <v>5.3556709670642855</v>
      </c>
      <c r="G38" s="252">
        <v>2.5077044601512277</v>
      </c>
      <c r="H38" s="252">
        <v>-1.400893712772644</v>
      </c>
      <c r="I38" s="252">
        <v>-3.3642069974999189</v>
      </c>
      <c r="J38" s="252">
        <v>-1.1166566611537698</v>
      </c>
      <c r="K38" s="252">
        <v>-1.0861752094133537</v>
      </c>
      <c r="L38" s="252">
        <v>2.7792651720128569</v>
      </c>
      <c r="M38" s="252">
        <v>2.3858000697894344</v>
      </c>
      <c r="N38" s="252">
        <v>0.21780038415362135</v>
      </c>
      <c r="O38" s="252">
        <v>-1.8685895963600041</v>
      </c>
      <c r="P38" s="252">
        <v>6.0328618049342753</v>
      </c>
      <c r="Q38" s="252">
        <v>21.480798909962395</v>
      </c>
      <c r="R38" s="252">
        <v>6.1667474966405234</v>
      </c>
      <c r="S38" s="252">
        <v>3.3254301497148253</v>
      </c>
      <c r="T38" s="252">
        <v>3.4652540325509129</v>
      </c>
      <c r="U38" s="253">
        <v>2.4286713457247977</v>
      </c>
    </row>
    <row r="39" spans="1:21">
      <c r="A39" s="233"/>
      <c r="B39" s="250"/>
      <c r="C39" s="251"/>
      <c r="D39" s="252"/>
      <c r="E39" s="252"/>
      <c r="F39" s="252"/>
      <c r="G39" s="252"/>
      <c r="H39" s="252"/>
      <c r="I39" s="252"/>
      <c r="J39" s="252"/>
      <c r="K39" s="252"/>
      <c r="L39" s="252"/>
      <c r="M39" s="252"/>
      <c r="N39" s="252"/>
      <c r="O39" s="252"/>
      <c r="P39" s="252"/>
      <c r="Q39" s="252"/>
      <c r="R39" s="252"/>
      <c r="S39" s="252"/>
      <c r="T39" s="252"/>
      <c r="U39" s="253"/>
    </row>
    <row r="40" spans="1:21">
      <c r="A40" s="233"/>
      <c r="B40" s="250" t="s">
        <v>554</v>
      </c>
      <c r="C40" s="251">
        <v>-1.6364253828232034</v>
      </c>
      <c r="D40" s="252">
        <v>-1.1359140466814632</v>
      </c>
      <c r="E40" s="252">
        <v>-0.82299359680536588</v>
      </c>
      <c r="F40" s="252">
        <v>-1.3368975856298926</v>
      </c>
      <c r="G40" s="252">
        <v>-1.2391851114925578</v>
      </c>
      <c r="H40" s="252">
        <v>-0.45235765769514602</v>
      </c>
      <c r="I40" s="252">
        <v>5.2329116410487764E-2</v>
      </c>
      <c r="J40" s="252">
        <v>-0.26916794725639903</v>
      </c>
      <c r="K40" s="252">
        <v>-0.38768946561129614</v>
      </c>
      <c r="L40" s="252">
        <v>-0.5458972072423518</v>
      </c>
      <c r="M40" s="252">
        <v>-0.58747573365699468</v>
      </c>
      <c r="N40" s="252">
        <v>-0.24288456179973883</v>
      </c>
      <c r="O40" s="252">
        <v>-0.36008521565367158</v>
      </c>
      <c r="P40" s="252">
        <v>-0.86113178280933234</v>
      </c>
      <c r="Q40" s="252">
        <v>-4.4348907751858402</v>
      </c>
      <c r="R40" s="252">
        <v>-0.59570422752904806</v>
      </c>
      <c r="S40" s="252">
        <v>0.28604361959616575</v>
      </c>
      <c r="T40" s="252">
        <v>-0.11855038075229141</v>
      </c>
      <c r="U40" s="253">
        <v>4.6447888356859757E-2</v>
      </c>
    </row>
    <row r="41" spans="1:21">
      <c r="A41" s="237"/>
      <c r="B41" s="266"/>
      <c r="C41" s="237"/>
      <c r="D41" s="267"/>
      <c r="E41" s="267"/>
      <c r="F41" s="267"/>
      <c r="G41" s="267"/>
      <c r="H41" s="267"/>
      <c r="I41" s="267"/>
      <c r="J41" s="267"/>
      <c r="K41" s="267"/>
      <c r="L41" s="267"/>
      <c r="M41" s="267"/>
      <c r="N41" s="267"/>
      <c r="O41" s="267"/>
      <c r="P41" s="267"/>
      <c r="Q41" s="267"/>
      <c r="R41" s="267"/>
      <c r="S41" s="267"/>
      <c r="T41" s="267"/>
      <c r="U41" s="238"/>
    </row>
    <row r="43" spans="1:21">
      <c r="A43" s="235" t="s">
        <v>536</v>
      </c>
      <c r="B43" s="902" t="s">
        <v>555</v>
      </c>
      <c r="C43" s="896"/>
      <c r="D43" s="896"/>
      <c r="E43" s="896"/>
      <c r="F43" s="896"/>
      <c r="G43" s="896"/>
      <c r="H43" s="896"/>
      <c r="I43" s="896"/>
      <c r="J43" s="896"/>
      <c r="K43" s="896"/>
      <c r="L43" s="896"/>
      <c r="M43" s="896"/>
      <c r="N43" s="896"/>
      <c r="O43" s="896"/>
      <c r="P43" s="896"/>
    </row>
    <row r="44" spans="1:21">
      <c r="B44" s="225"/>
      <c r="C44" s="225"/>
      <c r="D44" s="225"/>
      <c r="E44" s="225"/>
      <c r="F44" s="225"/>
      <c r="G44" s="225"/>
      <c r="H44" s="225"/>
      <c r="I44" s="225"/>
      <c r="J44" s="225"/>
      <c r="K44" s="225"/>
      <c r="L44" s="225"/>
      <c r="M44" s="225"/>
      <c r="N44" s="225"/>
      <c r="O44" s="225"/>
      <c r="P44" s="225"/>
    </row>
    <row r="45" spans="1:21">
      <c r="B45" s="268" t="s">
        <v>556</v>
      </c>
      <c r="C45" s="269">
        <v>0.17396396442500001</v>
      </c>
      <c r="D45" s="225"/>
      <c r="E45" s="226"/>
    </row>
    <row r="46" spans="1:21">
      <c r="B46" s="268" t="s">
        <v>557</v>
      </c>
      <c r="C46" s="269">
        <v>0.16561514460900001</v>
      </c>
      <c r="D46" s="225"/>
      <c r="E46" s="226"/>
    </row>
    <row r="47" spans="1:21">
      <c r="B47" s="268" t="s">
        <v>558</v>
      </c>
      <c r="C47" s="269">
        <v>3.2555668783000001E-2</v>
      </c>
      <c r="D47" s="225"/>
      <c r="E47" s="226"/>
    </row>
    <row r="48" spans="1:21">
      <c r="B48" s="270" t="s">
        <v>559</v>
      </c>
      <c r="C48" s="269">
        <v>0.33255469000600002</v>
      </c>
      <c r="D48" s="225"/>
      <c r="E48" s="226"/>
    </row>
    <row r="49" spans="2:5">
      <c r="B49" s="270" t="s">
        <v>560</v>
      </c>
      <c r="C49" s="269">
        <v>0.29531053217699998</v>
      </c>
      <c r="D49" s="225"/>
      <c r="E49" s="226"/>
    </row>
  </sheetData>
  <mergeCells count="4">
    <mergeCell ref="A1:R1"/>
    <mergeCell ref="A2:R2"/>
    <mergeCell ref="A3:R3"/>
    <mergeCell ref="B43:P43"/>
  </mergeCells>
  <pageMargins left="0.7" right="0.7" top="0.75" bottom="0.75" header="0.3" footer="0.3"/>
  <pageSetup paperSize="9" scale="5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showGridLines="0" zoomScale="80" zoomScaleNormal="80" workbookViewId="0">
      <pane xSplit="2" ySplit="6" topLeftCell="C7" activePane="bottomRight" state="frozen"/>
      <selection pane="topRight" activeCell="C1" sqref="C1"/>
      <selection pane="bottomLeft" activeCell="A7" sqref="A7"/>
      <selection pane="bottomRight" activeCell="H42" sqref="H42:H43"/>
    </sheetView>
  </sheetViews>
  <sheetFormatPr defaultColWidth="9.140625" defaultRowHeight="15.75"/>
  <cols>
    <col min="1" max="1" width="5.7109375" style="226" customWidth="1"/>
    <col min="2" max="2" width="75.7109375" style="226" customWidth="1"/>
    <col min="3" max="18" width="11.140625" style="226" customWidth="1"/>
    <col min="19" max="20" width="11.140625" style="296" customWidth="1"/>
    <col min="21" max="21" width="10.5703125" style="296" bestFit="1" customWidth="1"/>
    <col min="22" max="16384" width="9.140625" style="226"/>
  </cols>
  <sheetData>
    <row r="1" spans="1:21">
      <c r="A1" s="895" t="s">
        <v>836</v>
      </c>
      <c r="B1" s="896"/>
      <c r="C1" s="896"/>
      <c r="D1" s="896"/>
      <c r="E1" s="896"/>
      <c r="F1" s="896"/>
      <c r="G1" s="896"/>
      <c r="H1" s="896"/>
      <c r="I1" s="896"/>
      <c r="J1" s="896"/>
      <c r="K1" s="896"/>
      <c r="L1" s="896"/>
      <c r="M1" s="896"/>
      <c r="N1" s="896"/>
      <c r="O1" s="896"/>
      <c r="P1" s="896"/>
      <c r="Q1" s="897"/>
      <c r="R1" s="897"/>
      <c r="S1" s="566"/>
    </row>
    <row r="2" spans="1:21" ht="18.75">
      <c r="A2" s="898" t="s">
        <v>561</v>
      </c>
      <c r="B2" s="899"/>
      <c r="C2" s="899"/>
      <c r="D2" s="899"/>
      <c r="E2" s="899"/>
      <c r="F2" s="899"/>
      <c r="G2" s="899"/>
      <c r="H2" s="899"/>
      <c r="I2" s="899"/>
      <c r="J2" s="899"/>
      <c r="K2" s="899"/>
      <c r="L2" s="899"/>
      <c r="M2" s="899"/>
      <c r="N2" s="899"/>
      <c r="O2" s="899"/>
      <c r="P2" s="899"/>
      <c r="Q2" s="899"/>
      <c r="R2" s="899"/>
      <c r="S2" s="567"/>
    </row>
    <row r="3" spans="1:21">
      <c r="A3" s="900" t="s">
        <v>531</v>
      </c>
      <c r="B3" s="901"/>
      <c r="C3" s="901"/>
      <c r="D3" s="901"/>
      <c r="E3" s="901"/>
      <c r="F3" s="901"/>
      <c r="G3" s="901"/>
      <c r="H3" s="901"/>
      <c r="I3" s="901"/>
      <c r="J3" s="901"/>
      <c r="K3" s="901"/>
      <c r="L3" s="901"/>
      <c r="M3" s="901"/>
      <c r="N3" s="901"/>
      <c r="O3" s="901"/>
      <c r="P3" s="901"/>
      <c r="Q3" s="901"/>
      <c r="R3" s="901"/>
      <c r="S3" s="566"/>
    </row>
    <row r="4" spans="1:21">
      <c r="A4" s="272"/>
      <c r="B4" s="231"/>
      <c r="C4" s="272"/>
      <c r="D4" s="273"/>
      <c r="E4" s="231"/>
      <c r="F4" s="231"/>
      <c r="G4" s="231"/>
      <c r="H4" s="231"/>
      <c r="I4" s="231"/>
      <c r="J4" s="231"/>
      <c r="K4" s="231"/>
      <c r="L4" s="231"/>
      <c r="M4" s="231"/>
      <c r="N4" s="231"/>
      <c r="O4" s="231"/>
      <c r="P4" s="231"/>
      <c r="Q4" s="231"/>
      <c r="R4" s="231"/>
      <c r="S4" s="568"/>
      <c r="T4" s="568"/>
      <c r="U4" s="569"/>
    </row>
    <row r="5" spans="1:21">
      <c r="A5" s="274"/>
      <c r="B5" s="271"/>
      <c r="C5" s="233">
        <v>2008</v>
      </c>
      <c r="D5" s="235">
        <v>2009</v>
      </c>
      <c r="E5" s="235">
        <v>2010</v>
      </c>
      <c r="F5" s="235">
        <v>2011</v>
      </c>
      <c r="G5" s="235">
        <v>2012</v>
      </c>
      <c r="H5" s="235">
        <v>2013</v>
      </c>
      <c r="I5" s="235">
        <v>2014</v>
      </c>
      <c r="J5" s="235">
        <v>2015</v>
      </c>
      <c r="K5" s="235">
        <v>2016</v>
      </c>
      <c r="L5" s="235">
        <v>2017</v>
      </c>
      <c r="M5" s="235">
        <v>2018</v>
      </c>
      <c r="N5" s="235">
        <v>2019</v>
      </c>
      <c r="O5" s="235">
        <v>2020</v>
      </c>
      <c r="P5" s="235">
        <v>2021</v>
      </c>
      <c r="Q5" s="235">
        <v>2022</v>
      </c>
      <c r="R5" s="235">
        <v>2023</v>
      </c>
      <c r="S5" s="304">
        <v>2024</v>
      </c>
      <c r="T5" s="304">
        <v>2025</v>
      </c>
      <c r="U5" s="305">
        <v>2026</v>
      </c>
    </row>
    <row r="6" spans="1:21">
      <c r="A6" s="274"/>
      <c r="B6" s="235"/>
      <c r="C6" s="275" t="s">
        <v>532</v>
      </c>
      <c r="D6" s="276" t="s">
        <v>532</v>
      </c>
      <c r="E6" s="276" t="s">
        <v>532</v>
      </c>
      <c r="F6" s="276" t="s">
        <v>532</v>
      </c>
      <c r="G6" s="276" t="s">
        <v>532</v>
      </c>
      <c r="H6" s="276" t="s">
        <v>532</v>
      </c>
      <c r="I6" s="276" t="s">
        <v>532</v>
      </c>
      <c r="J6" s="276" t="s">
        <v>532</v>
      </c>
      <c r="K6" s="276" t="s">
        <v>532</v>
      </c>
      <c r="L6" s="276" t="s">
        <v>532</v>
      </c>
      <c r="M6" s="276" t="s">
        <v>532</v>
      </c>
      <c r="N6" s="276" t="s">
        <v>532</v>
      </c>
      <c r="O6" s="276" t="s">
        <v>532</v>
      </c>
      <c r="P6" s="240" t="s">
        <v>532</v>
      </c>
      <c r="Q6" s="276" t="s">
        <v>533</v>
      </c>
      <c r="R6" s="276" t="s">
        <v>533</v>
      </c>
      <c r="S6" s="570" t="s">
        <v>533</v>
      </c>
      <c r="T6" s="570" t="s">
        <v>533</v>
      </c>
      <c r="U6" s="571" t="s">
        <v>533</v>
      </c>
    </row>
    <row r="7" spans="1:21">
      <c r="A7" s="272"/>
      <c r="B7" s="277"/>
      <c r="C7" s="278"/>
      <c r="D7" s="279"/>
      <c r="E7" s="279"/>
      <c r="F7" s="279"/>
      <c r="G7" s="279"/>
      <c r="H7" s="279"/>
      <c r="I7" s="279"/>
      <c r="J7" s="279"/>
      <c r="K7" s="279"/>
      <c r="L7" s="279"/>
      <c r="M7" s="279"/>
      <c r="N7" s="279"/>
      <c r="O7" s="279"/>
      <c r="P7" s="279"/>
      <c r="Q7" s="279"/>
      <c r="R7" s="279"/>
      <c r="S7" s="572"/>
      <c r="T7" s="572"/>
      <c r="U7" s="573"/>
    </row>
    <row r="8" spans="1:21">
      <c r="A8" s="274"/>
      <c r="B8" s="280" t="s">
        <v>562</v>
      </c>
      <c r="C8" s="281"/>
      <c r="D8" s="282"/>
      <c r="J8" s="235"/>
      <c r="K8" s="235"/>
      <c r="L8" s="235"/>
      <c r="M8" s="235"/>
      <c r="N8" s="235"/>
      <c r="O8" s="235"/>
      <c r="P8" s="235"/>
      <c r="Q8" s="235"/>
      <c r="R8" s="235"/>
      <c r="S8" s="304"/>
      <c r="T8" s="304"/>
      <c r="U8" s="305"/>
    </row>
    <row r="9" spans="1:21">
      <c r="A9" s="274"/>
      <c r="B9" s="280"/>
      <c r="C9" s="281"/>
      <c r="D9" s="282"/>
      <c r="J9" s="235"/>
      <c r="K9" s="235"/>
      <c r="L9" s="235"/>
      <c r="M9" s="235"/>
      <c r="N9" s="235"/>
      <c r="O9" s="235"/>
      <c r="P9" s="235"/>
      <c r="Q9" s="235"/>
      <c r="R9" s="235"/>
      <c r="S9" s="304"/>
      <c r="T9" s="304"/>
      <c r="U9" s="305"/>
    </row>
    <row r="10" spans="1:21">
      <c r="A10" s="274"/>
      <c r="B10" s="250" t="s">
        <v>563</v>
      </c>
      <c r="C10" s="255">
        <v>70.240508000000005</v>
      </c>
      <c r="D10" s="256">
        <v>66.408513999999997</v>
      </c>
      <c r="E10" s="256">
        <v>70.868929999999992</v>
      </c>
      <c r="F10" s="256">
        <v>72.762160000000009</v>
      </c>
      <c r="G10" s="256">
        <v>73.721749000000003</v>
      </c>
      <c r="H10" s="256">
        <v>74.188215999999997</v>
      </c>
      <c r="I10" s="256">
        <v>76.189213000000009</v>
      </c>
      <c r="J10" s="256">
        <v>80.126047999999997</v>
      </c>
      <c r="K10" s="256">
        <v>81.683659000000006</v>
      </c>
      <c r="L10" s="256">
        <v>84.083581000000009</v>
      </c>
      <c r="M10" s="256">
        <v>87.472477000000012</v>
      </c>
      <c r="N10" s="256">
        <v>89.676514999999981</v>
      </c>
      <c r="O10" s="256">
        <v>86.65021800000001</v>
      </c>
      <c r="P10" s="256">
        <v>89.262117999999987</v>
      </c>
      <c r="Q10" s="256">
        <v>90.800632589371716</v>
      </c>
      <c r="R10" s="256">
        <v>91.949456998979016</v>
      </c>
      <c r="S10" s="256">
        <v>93.564715415270655</v>
      </c>
      <c r="T10" s="256">
        <v>96.048060597987302</v>
      </c>
      <c r="U10" s="257">
        <v>97.8806540923526</v>
      </c>
    </row>
    <row r="11" spans="1:21">
      <c r="A11" s="274"/>
      <c r="B11" s="283" t="s">
        <v>564</v>
      </c>
      <c r="C11" s="284">
        <v>5.574886345113006</v>
      </c>
      <c r="D11" s="285">
        <v>-5.4555328671597962</v>
      </c>
      <c r="E11" s="285">
        <v>6.7166327498308309</v>
      </c>
      <c r="F11" s="285">
        <v>2.6714527790951736</v>
      </c>
      <c r="G11" s="285">
        <v>1.3188022455628001</v>
      </c>
      <c r="H11" s="285">
        <v>0.63274000729418578</v>
      </c>
      <c r="I11" s="285">
        <v>2.6971898070712541</v>
      </c>
      <c r="J11" s="285">
        <v>5.1671816061415354</v>
      </c>
      <c r="K11" s="285">
        <v>1.9439508610233691</v>
      </c>
      <c r="L11" s="285">
        <v>2.9380686778490261</v>
      </c>
      <c r="M11" s="285">
        <v>4.0303897142534906</v>
      </c>
      <c r="N11" s="285">
        <v>2.5196931373053122</v>
      </c>
      <c r="O11" s="285">
        <v>-3.3746817659004447</v>
      </c>
      <c r="P11" s="285">
        <v>3.0143028607267697</v>
      </c>
      <c r="Q11" s="285">
        <v>1.7235918481922186</v>
      </c>
      <c r="R11" s="285">
        <v>1.2652163061491528</v>
      </c>
      <c r="S11" s="285">
        <v>1.7566807559391773</v>
      </c>
      <c r="T11" s="285">
        <v>2.6541471020296026</v>
      </c>
      <c r="U11" s="286">
        <v>1.9079963540707956</v>
      </c>
    </row>
    <row r="12" spans="1:21">
      <c r="A12" s="274"/>
      <c r="B12" s="250" t="s">
        <v>565</v>
      </c>
      <c r="C12" s="255">
        <v>41.387274000000005</v>
      </c>
      <c r="D12" s="256">
        <v>41.292942000000004</v>
      </c>
      <c r="E12" s="256">
        <v>41.630653999999993</v>
      </c>
      <c r="F12" s="256">
        <v>40.816290000000002</v>
      </c>
      <c r="G12" s="256">
        <v>40.997989000000004</v>
      </c>
      <c r="H12" s="256">
        <v>40.504422000000005</v>
      </c>
      <c r="I12" s="256">
        <v>41.283656000000001</v>
      </c>
      <c r="J12" s="256">
        <v>42.425680999999997</v>
      </c>
      <c r="K12" s="256">
        <v>44.071343999999996</v>
      </c>
      <c r="L12" s="256">
        <v>46.14705</v>
      </c>
      <c r="M12" s="256">
        <v>48.08791500000001</v>
      </c>
      <c r="N12" s="256">
        <v>49.337769000000002</v>
      </c>
      <c r="O12" s="256">
        <v>48.739730999999999</v>
      </c>
      <c r="P12" s="256">
        <v>49.527355999999997</v>
      </c>
      <c r="Q12" s="256">
        <v>51.795454661084818</v>
      </c>
      <c r="R12" s="256">
        <v>52.160466216306375</v>
      </c>
      <c r="S12" s="256">
        <v>52.708377340767001</v>
      </c>
      <c r="T12" s="256">
        <v>53.495833368812967</v>
      </c>
      <c r="U12" s="257">
        <v>54.196808545399819</v>
      </c>
    </row>
    <row r="13" spans="1:21">
      <c r="A13" s="274"/>
      <c r="B13" s="283" t="s">
        <v>564</v>
      </c>
      <c r="C13" s="284">
        <v>6.996343968929275</v>
      </c>
      <c r="D13" s="285">
        <v>-0.22792513466821651</v>
      </c>
      <c r="E13" s="285">
        <v>0.81784436672007743</v>
      </c>
      <c r="F13" s="285">
        <v>-1.9561643206469803</v>
      </c>
      <c r="G13" s="285">
        <v>0.44516294842082971</v>
      </c>
      <c r="H13" s="285">
        <v>-1.203881000114404</v>
      </c>
      <c r="I13" s="285">
        <v>1.9238245147653155</v>
      </c>
      <c r="J13" s="285">
        <v>2.7662884314315406</v>
      </c>
      <c r="K13" s="285">
        <v>3.8789312539261322</v>
      </c>
      <c r="L13" s="285">
        <v>4.7098767852416845</v>
      </c>
      <c r="M13" s="285">
        <v>4.2058268079974814</v>
      </c>
      <c r="N13" s="285">
        <v>2.5991020820927524</v>
      </c>
      <c r="O13" s="285">
        <v>-1.2121302039417303</v>
      </c>
      <c r="P13" s="285">
        <v>1.6159814259130822</v>
      </c>
      <c r="Q13" s="285">
        <v>4.5794866600284978</v>
      </c>
      <c r="R13" s="285">
        <v>0.70471734944688169</v>
      </c>
      <c r="S13" s="285">
        <v>1.0504337177288159</v>
      </c>
      <c r="T13" s="285">
        <v>1.4939864738293007</v>
      </c>
      <c r="U13" s="286">
        <v>1.3103360251520257</v>
      </c>
    </row>
    <row r="14" spans="1:21">
      <c r="A14" s="274"/>
      <c r="B14" s="250" t="s">
        <v>566</v>
      </c>
      <c r="C14" s="255">
        <v>0.65828600000000004</v>
      </c>
      <c r="D14" s="256">
        <v>0.67871599999999987</v>
      </c>
      <c r="E14" s="256">
        <v>0.68976000000000004</v>
      </c>
      <c r="F14" s="256">
        <v>0.69187500000000013</v>
      </c>
      <c r="G14" s="256">
        <v>0.67547999999999997</v>
      </c>
      <c r="H14" s="256">
        <v>0.67717800000000006</v>
      </c>
      <c r="I14" s="256">
        <v>0.67212400000000005</v>
      </c>
      <c r="J14" s="256">
        <v>0.69064800000000004</v>
      </c>
      <c r="K14" s="256">
        <v>0.72752399999999995</v>
      </c>
      <c r="L14" s="256">
        <v>0.72264699999999993</v>
      </c>
      <c r="M14" s="256">
        <v>0.6948430000000001</v>
      </c>
      <c r="N14" s="256">
        <v>0.75982899999999998</v>
      </c>
      <c r="O14" s="256">
        <v>0.74525300000000005</v>
      </c>
      <c r="P14" s="256">
        <v>0.775729</v>
      </c>
      <c r="Q14" s="256">
        <v>0.77105894002641007</v>
      </c>
      <c r="R14" s="256">
        <v>0.75838170694264384</v>
      </c>
      <c r="S14" s="256">
        <v>0.76634800410145665</v>
      </c>
      <c r="T14" s="256">
        <v>0.77779713962519292</v>
      </c>
      <c r="U14" s="257">
        <v>0.787988895748304</v>
      </c>
    </row>
    <row r="15" spans="1:21">
      <c r="A15" s="274"/>
      <c r="B15" s="283" t="s">
        <v>564</v>
      </c>
      <c r="C15" s="284">
        <v>8.2381454266232446</v>
      </c>
      <c r="D15" s="285">
        <v>3.1035142779885616</v>
      </c>
      <c r="E15" s="285">
        <v>1.6271901649585585</v>
      </c>
      <c r="F15" s="285">
        <v>0.30662839248436491</v>
      </c>
      <c r="G15" s="285">
        <v>-2.369647696476973</v>
      </c>
      <c r="H15" s="285">
        <v>0.25137679872091478</v>
      </c>
      <c r="I15" s="285">
        <v>-0.74633257430101185</v>
      </c>
      <c r="J15" s="285">
        <v>2.7560390642202837</v>
      </c>
      <c r="K15" s="285">
        <v>5.339333495499865</v>
      </c>
      <c r="L15" s="285">
        <v>-0.67035589203930934</v>
      </c>
      <c r="M15" s="285">
        <v>-3.8475216807099311</v>
      </c>
      <c r="N15" s="285">
        <v>9.3526163464264336</v>
      </c>
      <c r="O15" s="285">
        <v>-1.9183263602731593</v>
      </c>
      <c r="P15" s="285">
        <v>4.0893495229136878</v>
      </c>
      <c r="Q15" s="285">
        <v>-0.60202209451883926</v>
      </c>
      <c r="R15" s="285">
        <v>-1.6441328186055371</v>
      </c>
      <c r="S15" s="285">
        <v>1.0504337177288159</v>
      </c>
      <c r="T15" s="285">
        <v>1.4939864738292563</v>
      </c>
      <c r="U15" s="286">
        <v>1.3103360251520479</v>
      </c>
    </row>
    <row r="16" spans="1:21">
      <c r="A16" s="274"/>
      <c r="B16" s="250" t="s">
        <v>567</v>
      </c>
      <c r="C16" s="255">
        <v>12.939945999999999</v>
      </c>
      <c r="D16" s="256">
        <v>13.714922999999999</v>
      </c>
      <c r="E16" s="256">
        <v>14.005614000000001</v>
      </c>
      <c r="F16" s="256">
        <v>13.676168000000002</v>
      </c>
      <c r="G16" s="256">
        <v>13.401536</v>
      </c>
      <c r="H16" s="256">
        <v>13.600327000000002</v>
      </c>
      <c r="I16" s="256">
        <v>14.11434</v>
      </c>
      <c r="J16" s="256">
        <v>14.862878</v>
      </c>
      <c r="K16" s="256">
        <v>15.149528999999999</v>
      </c>
      <c r="L16" s="256">
        <v>15.309517</v>
      </c>
      <c r="M16" s="256">
        <v>15.385</v>
      </c>
      <c r="N16" s="256">
        <v>16.084538000000002</v>
      </c>
      <c r="O16" s="256">
        <v>15.980699000000001</v>
      </c>
      <c r="P16" s="256">
        <v>16.644722000000002</v>
      </c>
      <c r="Q16" s="256">
        <v>16.233260401876301</v>
      </c>
      <c r="R16" s="256">
        <v>16.614445630822978</v>
      </c>
      <c r="S16" s="256">
        <v>16.847879000123722</v>
      </c>
      <c r="T16" s="256">
        <v>16.938502896281832</v>
      </c>
      <c r="U16" s="257">
        <v>17.101985652143551</v>
      </c>
    </row>
    <row r="17" spans="1:25">
      <c r="A17" s="274"/>
      <c r="B17" s="283" t="s">
        <v>564</v>
      </c>
      <c r="C17" s="284">
        <v>6.2742038661468325</v>
      </c>
      <c r="D17" s="285">
        <v>5.9890280840430021</v>
      </c>
      <c r="E17" s="285">
        <v>2.1195233833978033</v>
      </c>
      <c r="F17" s="285">
        <v>-2.3522424650572304</v>
      </c>
      <c r="G17" s="285">
        <v>-2.0081063642973795</v>
      </c>
      <c r="H17" s="285">
        <v>1.4833448941972138</v>
      </c>
      <c r="I17" s="285">
        <v>3.7794164802066765</v>
      </c>
      <c r="J17" s="285">
        <v>5.3033864849507673</v>
      </c>
      <c r="K17" s="285">
        <v>1.9286372397055107</v>
      </c>
      <c r="L17" s="285">
        <v>1.0560592345808306</v>
      </c>
      <c r="M17" s="285">
        <v>0.49304625351669351</v>
      </c>
      <c r="N17" s="285">
        <v>4.5468833279167953</v>
      </c>
      <c r="O17" s="285">
        <v>-0.64558273293270352</v>
      </c>
      <c r="P17" s="285">
        <v>4.1551561668234926</v>
      </c>
      <c r="Q17" s="285">
        <v>-2.4720244539001679</v>
      </c>
      <c r="R17" s="285">
        <v>2.3481741776446796</v>
      </c>
      <c r="S17" s="285">
        <v>1.4050024568239561</v>
      </c>
      <c r="T17" s="285">
        <v>0.53789498462948337</v>
      </c>
      <c r="U17" s="286">
        <v>0.96515469438331891</v>
      </c>
    </row>
    <row r="18" spans="1:25">
      <c r="A18" s="274"/>
      <c r="B18" s="250" t="s">
        <v>568</v>
      </c>
      <c r="C18" s="255">
        <v>16.751147</v>
      </c>
      <c r="D18" s="256">
        <v>13.445321</v>
      </c>
      <c r="E18" s="256">
        <v>14.595858</v>
      </c>
      <c r="F18" s="256">
        <v>16.653268000000004</v>
      </c>
      <c r="G18" s="256">
        <v>14.993024000000002</v>
      </c>
      <c r="H18" s="256">
        <v>15.174053000000001</v>
      </c>
      <c r="I18" s="256">
        <v>15.627580000000002</v>
      </c>
      <c r="J18" s="256">
        <v>18.971017</v>
      </c>
      <c r="K18" s="256">
        <v>17.223419000000003</v>
      </c>
      <c r="L18" s="256">
        <v>17.723839000000002</v>
      </c>
      <c r="M18" s="256">
        <v>18.218177999999998</v>
      </c>
      <c r="N18" s="256">
        <v>19.446652999999998</v>
      </c>
      <c r="O18" s="256">
        <v>17.341493999999997</v>
      </c>
      <c r="P18" s="256">
        <v>17.378867</v>
      </c>
      <c r="Q18" s="256">
        <v>18.528896394679084</v>
      </c>
      <c r="R18" s="256">
        <v>21.233206283835884</v>
      </c>
      <c r="S18" s="256">
        <v>21.485625775971958</v>
      </c>
      <c r="T18" s="256">
        <v>21.768380842464662</v>
      </c>
      <c r="U18" s="257">
        <v>21.057877501530367</v>
      </c>
    </row>
    <row r="19" spans="1:25">
      <c r="A19" s="274"/>
      <c r="B19" s="283" t="s">
        <v>564</v>
      </c>
      <c r="C19" s="284">
        <v>3.6906516124339817</v>
      </c>
      <c r="D19" s="285">
        <v>-19.734923226451308</v>
      </c>
      <c r="E19" s="285">
        <v>8.5571553107582901</v>
      </c>
      <c r="F19" s="285">
        <v>14.095848287918411</v>
      </c>
      <c r="G19" s="285">
        <v>-9.9694786632870009</v>
      </c>
      <c r="H19" s="285">
        <v>1.2074215315069026</v>
      </c>
      <c r="I19" s="285">
        <v>2.9888323179047882</v>
      </c>
      <c r="J19" s="285">
        <v>21.394464146080196</v>
      </c>
      <c r="K19" s="285">
        <v>-9.2119362920817451</v>
      </c>
      <c r="L19" s="285">
        <v>2.9054626145946783</v>
      </c>
      <c r="M19" s="285">
        <v>2.7891192196002335</v>
      </c>
      <c r="N19" s="285">
        <v>6.7431276607353263</v>
      </c>
      <c r="O19" s="285">
        <v>-10.825302431220429</v>
      </c>
      <c r="P19" s="285">
        <v>0.2155119968325625</v>
      </c>
      <c r="Q19" s="285">
        <v>6.6174014374992707</v>
      </c>
      <c r="R19" s="285">
        <v>14.595094233099569</v>
      </c>
      <c r="S19" s="285">
        <v>1.1887959301192907</v>
      </c>
      <c r="T19" s="285">
        <v>1.3160196935428248</v>
      </c>
      <c r="U19" s="286">
        <v>-3.2639236977528574</v>
      </c>
    </row>
    <row r="20" spans="1:25">
      <c r="A20" s="274"/>
      <c r="B20" s="250" t="s">
        <v>569</v>
      </c>
      <c r="C20" s="255">
        <v>52.837835000000005</v>
      </c>
      <c r="D20" s="256">
        <v>44.189901000000006</v>
      </c>
      <c r="E20" s="256">
        <v>51.850507000000007</v>
      </c>
      <c r="F20" s="256">
        <v>57.362293000000008</v>
      </c>
      <c r="G20" s="256">
        <v>62.607472999999999</v>
      </c>
      <c r="H20" s="256">
        <v>66.37036599999999</v>
      </c>
      <c r="I20" s="256">
        <v>68.823053000000002</v>
      </c>
      <c r="J20" s="256">
        <v>73.395839999999993</v>
      </c>
      <c r="K20" s="256">
        <v>77.088296999999997</v>
      </c>
      <c r="L20" s="256">
        <v>79.927084000000008</v>
      </c>
      <c r="M20" s="256">
        <v>84.020714999999996</v>
      </c>
      <c r="N20" s="256">
        <v>84.683228999999997</v>
      </c>
      <c r="O20" s="256">
        <v>79.304683000000011</v>
      </c>
      <c r="P20" s="256">
        <v>87.730975999999998</v>
      </c>
      <c r="Q20" s="256">
        <v>87.963141834985635</v>
      </c>
      <c r="R20" s="256">
        <v>89.142785305401333</v>
      </c>
      <c r="S20" s="256">
        <v>95.3309454920213</v>
      </c>
      <c r="T20" s="256">
        <v>101.58114746994708</v>
      </c>
      <c r="U20" s="257">
        <v>107.02643362572411</v>
      </c>
    </row>
    <row r="21" spans="1:25">
      <c r="A21" s="274"/>
      <c r="B21" s="283" t="s">
        <v>564</v>
      </c>
      <c r="C21" s="284">
        <v>3.0103031290096505</v>
      </c>
      <c r="D21" s="285">
        <v>-16.366934792086006</v>
      </c>
      <c r="E21" s="285">
        <v>17.335648703987804</v>
      </c>
      <c r="F21" s="285">
        <v>10.630148708092669</v>
      </c>
      <c r="G21" s="285">
        <v>9.1439510620678899</v>
      </c>
      <c r="H21" s="285">
        <v>6.0102936912978411</v>
      </c>
      <c r="I21" s="285">
        <v>3.6954549866426989</v>
      </c>
      <c r="J21" s="285">
        <v>6.6442664204390933</v>
      </c>
      <c r="K21" s="285">
        <v>5.0308804967692966</v>
      </c>
      <c r="L21" s="285">
        <v>3.682513572715207</v>
      </c>
      <c r="M21" s="285">
        <v>5.1217069297811335</v>
      </c>
      <c r="N21" s="285">
        <v>0.78851268999555746</v>
      </c>
      <c r="O21" s="285">
        <v>-6.3513709426455511</v>
      </c>
      <c r="P21" s="285">
        <v>10.6252149069179</v>
      </c>
      <c r="Q21" s="285">
        <v>0.26463382213557374</v>
      </c>
      <c r="R21" s="285">
        <v>1.3410656393204379</v>
      </c>
      <c r="S21" s="285">
        <v>6.9418519574180326</v>
      </c>
      <c r="T21" s="285">
        <v>6.5563201389300163</v>
      </c>
      <c r="U21" s="286">
        <v>5.3605282982140068</v>
      </c>
    </row>
    <row r="22" spans="1:25">
      <c r="A22" s="274"/>
      <c r="B22" s="250" t="s">
        <v>570</v>
      </c>
      <c r="C22" s="255">
        <v>56.908987000000003</v>
      </c>
      <c r="D22" s="256">
        <v>46.148643999999997</v>
      </c>
      <c r="E22" s="256">
        <v>53.802208000000007</v>
      </c>
      <c r="F22" s="256">
        <v>57.999735000000001</v>
      </c>
      <c r="G22" s="256">
        <v>59.214770999999999</v>
      </c>
      <c r="H22" s="256">
        <v>62.575908000000005</v>
      </c>
      <c r="I22" s="256">
        <v>65.409880999999999</v>
      </c>
      <c r="J22" s="256">
        <v>70.981709000000009</v>
      </c>
      <c r="K22" s="256">
        <v>74.407977000000002</v>
      </c>
      <c r="L22" s="256">
        <v>77.442313999999996</v>
      </c>
      <c r="M22" s="256">
        <v>81.136448999999999</v>
      </c>
      <c r="N22" s="256">
        <v>82.905795000000012</v>
      </c>
      <c r="O22" s="256">
        <v>76.142502000000007</v>
      </c>
      <c r="P22" s="256">
        <v>85.34744400000001</v>
      </c>
      <c r="Q22" s="256">
        <v>86.296911762075524</v>
      </c>
      <c r="R22" s="256">
        <v>89.898223966652921</v>
      </c>
      <c r="S22" s="256">
        <v>95.464163999964541</v>
      </c>
      <c r="T22" s="256">
        <v>100.40321927308044</v>
      </c>
      <c r="U22" s="257">
        <v>104.17998213631127</v>
      </c>
      <c r="Y22" s="310"/>
    </row>
    <row r="23" spans="1:25">
      <c r="A23" s="274"/>
      <c r="B23" s="283" t="s">
        <v>564</v>
      </c>
      <c r="C23" s="284">
        <v>4.108036099843404</v>
      </c>
      <c r="D23" s="285">
        <v>-18.907985482152412</v>
      </c>
      <c r="E23" s="285">
        <v>16.58459130456793</v>
      </c>
      <c r="F23" s="285">
        <v>7.8017746037486013</v>
      </c>
      <c r="G23" s="285">
        <v>2.0948992266947464</v>
      </c>
      <c r="H23" s="285">
        <v>5.6761800193401157</v>
      </c>
      <c r="I23" s="285">
        <v>4.5288563771219925</v>
      </c>
      <c r="J23" s="285">
        <v>8.518327682021031</v>
      </c>
      <c r="K23" s="285">
        <v>4.8269731009153327</v>
      </c>
      <c r="L23" s="285">
        <v>4.077972715210354</v>
      </c>
      <c r="M23" s="285">
        <v>4.7701764180238637</v>
      </c>
      <c r="N23" s="285">
        <v>2.1807042603010807</v>
      </c>
      <c r="O23" s="285">
        <v>-8.1578048916845951</v>
      </c>
      <c r="P23" s="285">
        <v>12.089098411817357</v>
      </c>
      <c r="Q23" s="285">
        <v>1.1124735757470638</v>
      </c>
      <c r="R23" s="285">
        <v>4.1731646371151454</v>
      </c>
      <c r="S23" s="285">
        <v>6.1913793039740872</v>
      </c>
      <c r="T23" s="285">
        <v>5.1737270470600061</v>
      </c>
      <c r="U23" s="286">
        <v>3.7615953856605433</v>
      </c>
    </row>
    <row r="24" spans="1:25">
      <c r="A24" s="287"/>
      <c r="B24" s="288"/>
      <c r="C24" s="289"/>
      <c r="D24" s="290"/>
      <c r="E24" s="290"/>
      <c r="F24" s="290"/>
      <c r="G24" s="290"/>
      <c r="H24" s="290"/>
      <c r="I24" s="290"/>
      <c r="J24" s="290"/>
      <c r="K24" s="290"/>
      <c r="L24" s="290"/>
      <c r="M24" s="290"/>
      <c r="N24" s="290"/>
      <c r="O24" s="290"/>
      <c r="P24" s="290"/>
      <c r="Q24" s="290"/>
      <c r="R24" s="290"/>
      <c r="S24" s="574"/>
      <c r="T24" s="574"/>
      <c r="U24" s="575"/>
    </row>
    <row r="25" spans="1:25">
      <c r="A25" s="274"/>
      <c r="B25" s="291"/>
      <c r="C25" s="292"/>
      <c r="D25" s="293"/>
      <c r="E25" s="294"/>
      <c r="F25" s="294"/>
      <c r="G25" s="294"/>
      <c r="H25" s="294"/>
      <c r="I25" s="294"/>
      <c r="J25" s="294"/>
      <c r="K25" s="294"/>
      <c r="L25" s="294"/>
      <c r="M25" s="294"/>
      <c r="N25" s="294"/>
      <c r="O25" s="294"/>
      <c r="P25" s="294"/>
      <c r="Q25" s="294"/>
      <c r="R25" s="294"/>
      <c r="S25" s="294"/>
      <c r="T25" s="294"/>
      <c r="U25" s="295"/>
    </row>
    <row r="26" spans="1:25">
      <c r="A26" s="274"/>
      <c r="B26" s="280" t="s">
        <v>571</v>
      </c>
      <c r="C26" s="233"/>
      <c r="D26" s="235"/>
      <c r="E26" s="296"/>
      <c r="F26" s="296"/>
      <c r="G26" s="296"/>
      <c r="H26" s="296"/>
      <c r="I26" s="296"/>
      <c r="J26" s="296"/>
      <c r="K26" s="296"/>
      <c r="L26" s="296"/>
      <c r="M26" s="296"/>
      <c r="N26" s="296"/>
      <c r="O26" s="296"/>
      <c r="P26" s="296"/>
      <c r="Q26" s="296"/>
      <c r="R26" s="296"/>
      <c r="U26" s="576"/>
    </row>
    <row r="27" spans="1:25">
      <c r="A27" s="274"/>
      <c r="B27" s="282"/>
      <c r="C27" s="233"/>
      <c r="D27" s="235"/>
      <c r="E27" s="296"/>
      <c r="F27" s="296"/>
      <c r="G27" s="296"/>
      <c r="H27" s="296"/>
      <c r="I27" s="296"/>
      <c r="J27" s="296"/>
      <c r="K27" s="296"/>
      <c r="L27" s="296"/>
      <c r="M27" s="296"/>
      <c r="N27" s="296"/>
      <c r="O27" s="296"/>
      <c r="P27" s="296"/>
      <c r="Q27" s="296"/>
      <c r="R27" s="296"/>
      <c r="U27" s="576"/>
    </row>
    <row r="28" spans="1:25">
      <c r="A28" s="274"/>
      <c r="B28" s="250" t="s">
        <v>563</v>
      </c>
      <c r="C28" s="255">
        <v>68.590534000000005</v>
      </c>
      <c r="D28" s="256">
        <v>64.095518999999996</v>
      </c>
      <c r="E28" s="256">
        <v>68.764947000000006</v>
      </c>
      <c r="F28" s="256">
        <v>71.785845999999992</v>
      </c>
      <c r="G28" s="256">
        <v>73.649256999999992</v>
      </c>
      <c r="H28" s="256">
        <v>74.492792999999992</v>
      </c>
      <c r="I28" s="256">
        <v>76.354523999999998</v>
      </c>
      <c r="J28" s="256">
        <v>80.126047999999997</v>
      </c>
      <c r="K28" s="256">
        <v>81.265197000000001</v>
      </c>
      <c r="L28" s="256">
        <v>84.669877000000014</v>
      </c>
      <c r="M28" s="256">
        <v>89.874692999999994</v>
      </c>
      <c r="N28" s="256">
        <v>94.437482999999986</v>
      </c>
      <c r="O28" s="256">
        <v>93.413755999999992</v>
      </c>
      <c r="P28" s="256">
        <v>98.522981000000001</v>
      </c>
      <c r="Q28" s="256">
        <v>107.76781858233329</v>
      </c>
      <c r="R28" s="256">
        <v>117.61524271983367</v>
      </c>
      <c r="S28" s="256">
        <v>126.21583670795715</v>
      </c>
      <c r="T28" s="256">
        <v>134.86950334327</v>
      </c>
      <c r="U28" s="257">
        <v>140.89632245943292</v>
      </c>
    </row>
    <row r="29" spans="1:25">
      <c r="A29" s="274"/>
      <c r="B29" s="283" t="s">
        <v>564</v>
      </c>
      <c r="C29" s="284">
        <v>8.5922957350331952</v>
      </c>
      <c r="D29" s="285">
        <v>-6.5534042933679482</v>
      </c>
      <c r="E29" s="285">
        <v>7.2851083396329175</v>
      </c>
      <c r="F29" s="285">
        <v>4.3930798056166509</v>
      </c>
      <c r="G29" s="285">
        <v>2.5957916550847671</v>
      </c>
      <c r="H29" s="285">
        <v>1.1453421722910084</v>
      </c>
      <c r="I29" s="285">
        <v>2.4992095544061677</v>
      </c>
      <c r="J29" s="285">
        <v>4.9394898984636226</v>
      </c>
      <c r="K29" s="285">
        <v>1.421696225427227</v>
      </c>
      <c r="L29" s="285">
        <v>4.1895917633719693</v>
      </c>
      <c r="M29" s="285">
        <v>6.1471873875522443</v>
      </c>
      <c r="N29" s="285">
        <v>5.0768351442379789</v>
      </c>
      <c r="O29" s="285">
        <v>-1.0840261382231042</v>
      </c>
      <c r="P29" s="285">
        <v>5.4694567682301631</v>
      </c>
      <c r="Q29" s="285">
        <v>9.3834326656572422</v>
      </c>
      <c r="R29" s="285">
        <v>9.1376296440268678</v>
      </c>
      <c r="S29" s="285">
        <v>7.312482454855429</v>
      </c>
      <c r="T29" s="285">
        <v>6.8562447162126006</v>
      </c>
      <c r="U29" s="286">
        <v>4.4686300214389352</v>
      </c>
    </row>
    <row r="30" spans="1:25">
      <c r="A30" s="274"/>
      <c r="B30" s="250" t="s">
        <v>565</v>
      </c>
      <c r="C30" s="255">
        <v>37.666879000000002</v>
      </c>
      <c r="D30" s="256">
        <v>37.599816999999994</v>
      </c>
      <c r="E30" s="256">
        <v>38.295244999999994</v>
      </c>
      <c r="F30" s="256">
        <v>39.015353000000005</v>
      </c>
      <c r="G30" s="256">
        <v>40.545577999999999</v>
      </c>
      <c r="H30" s="256">
        <v>40.593966000000002</v>
      </c>
      <c r="I30" s="256">
        <v>41.335594</v>
      </c>
      <c r="J30" s="256">
        <v>42.425681000000004</v>
      </c>
      <c r="K30" s="256">
        <v>43.921543000000007</v>
      </c>
      <c r="L30" s="256">
        <v>46.625399999999999</v>
      </c>
      <c r="M30" s="256">
        <v>49.698645000000006</v>
      </c>
      <c r="N30" s="256">
        <v>52.362904</v>
      </c>
      <c r="O30" s="256">
        <v>52.814715000000007</v>
      </c>
      <c r="P30" s="256">
        <v>55.411131999999995</v>
      </c>
      <c r="Q30" s="256">
        <v>65.599080521813647</v>
      </c>
      <c r="R30" s="256">
        <v>72.398439268871755</v>
      </c>
      <c r="S30" s="256">
        <v>77.011490570299671</v>
      </c>
      <c r="T30" s="256">
        <v>81.541235939679325</v>
      </c>
      <c r="U30" s="257">
        <v>84.495697012662632</v>
      </c>
    </row>
    <row r="31" spans="1:25">
      <c r="A31" s="274"/>
      <c r="B31" s="283" t="s">
        <v>564</v>
      </c>
      <c r="C31" s="284">
        <v>11.800179221602658</v>
      </c>
      <c r="D31" s="285">
        <v>-0.1780397043248616</v>
      </c>
      <c r="E31" s="285">
        <v>1.8495515549982633</v>
      </c>
      <c r="F31" s="285">
        <v>1.8804110014180919</v>
      </c>
      <c r="G31" s="285">
        <v>3.9221098422459466</v>
      </c>
      <c r="H31" s="285">
        <v>0.11934223751848272</v>
      </c>
      <c r="I31" s="285">
        <v>1.8269414720404331</v>
      </c>
      <c r="J31" s="285">
        <v>2.6371630222611797</v>
      </c>
      <c r="K31" s="285">
        <v>3.5258408698259913</v>
      </c>
      <c r="L31" s="285">
        <v>6.1561065830496808</v>
      </c>
      <c r="M31" s="285">
        <v>6.5913536398615413</v>
      </c>
      <c r="N31" s="285">
        <v>5.3608282479331137</v>
      </c>
      <c r="O31" s="285">
        <v>0.86284557479852086</v>
      </c>
      <c r="P31" s="285">
        <v>4.9160863596442672</v>
      </c>
      <c r="Q31" s="285">
        <v>18.386104297262239</v>
      </c>
      <c r="R31" s="285">
        <v>10.365021419465027</v>
      </c>
      <c r="S31" s="285">
        <v>6.3717551759590707</v>
      </c>
      <c r="T31" s="285">
        <v>5.8819084474734051</v>
      </c>
      <c r="U31" s="286">
        <v>3.6232723712563031</v>
      </c>
    </row>
    <row r="32" spans="1:25">
      <c r="A32" s="274"/>
      <c r="B32" s="250" t="s">
        <v>566</v>
      </c>
      <c r="C32" s="255">
        <v>0.625587</v>
      </c>
      <c r="D32" s="256">
        <v>0.64738300000000004</v>
      </c>
      <c r="E32" s="256">
        <v>0.65737000000000001</v>
      </c>
      <c r="F32" s="256">
        <v>0.66988000000000014</v>
      </c>
      <c r="G32" s="256">
        <v>0.66457300000000008</v>
      </c>
      <c r="H32" s="256">
        <v>0.67239700000000002</v>
      </c>
      <c r="I32" s="256">
        <v>0.66843800000000009</v>
      </c>
      <c r="J32" s="256">
        <v>0.69064800000000015</v>
      </c>
      <c r="K32" s="256">
        <v>0.73486899999999999</v>
      </c>
      <c r="L32" s="256">
        <v>0.75113399999999997</v>
      </c>
      <c r="M32" s="256">
        <v>0.74919399999999992</v>
      </c>
      <c r="N32" s="256">
        <v>0.86131500000000005</v>
      </c>
      <c r="O32" s="256">
        <v>0.89771200000000007</v>
      </c>
      <c r="P32" s="256">
        <v>0.96741900000000014</v>
      </c>
      <c r="Q32" s="256">
        <v>1.0835131931906872</v>
      </c>
      <c r="R32" s="256">
        <v>1.0899761291908052</v>
      </c>
      <c r="S32" s="256">
        <v>1.159426739619239</v>
      </c>
      <c r="T32" s="256">
        <v>1.227623158959168</v>
      </c>
      <c r="U32" s="257">
        <v>1.272103289700879</v>
      </c>
    </row>
    <row r="33" spans="1:21">
      <c r="A33" s="274"/>
      <c r="B33" s="283" t="s">
        <v>564</v>
      </c>
      <c r="C33" s="284">
        <v>12.560388211861184</v>
      </c>
      <c r="D33" s="285">
        <v>3.4840877447900986</v>
      </c>
      <c r="E33" s="285">
        <v>1.5426725755850912</v>
      </c>
      <c r="F33" s="285">
        <v>1.9030378629995459</v>
      </c>
      <c r="G33" s="285">
        <v>-0.79223144443780757</v>
      </c>
      <c r="H33" s="285">
        <v>1.1772973021774824</v>
      </c>
      <c r="I33" s="285">
        <v>-0.58878906360378958</v>
      </c>
      <c r="J33" s="285">
        <v>3.3226716613956819</v>
      </c>
      <c r="K33" s="285">
        <v>6.4028274895460369</v>
      </c>
      <c r="L33" s="285">
        <v>2.2133196528905108</v>
      </c>
      <c r="M33" s="285">
        <v>-0.25827615312314922</v>
      </c>
      <c r="N33" s="285">
        <v>14.965549644017461</v>
      </c>
      <c r="O33" s="285">
        <v>4.2257478390600456</v>
      </c>
      <c r="P33" s="285">
        <v>7.7649624823997065</v>
      </c>
      <c r="Q33" s="285">
        <v>12.000404498018646</v>
      </c>
      <c r="R33" s="285">
        <v>0.59647967747271657</v>
      </c>
      <c r="S33" s="285">
        <v>6.3717551759590929</v>
      </c>
      <c r="T33" s="285">
        <v>5.8819084474733607</v>
      </c>
      <c r="U33" s="286">
        <v>3.6232723712562809</v>
      </c>
    </row>
    <row r="34" spans="1:21">
      <c r="A34" s="274"/>
      <c r="B34" s="250" t="s">
        <v>567</v>
      </c>
      <c r="C34" s="255">
        <v>12.026101000000001</v>
      </c>
      <c r="D34" s="256">
        <v>12.814836000000001</v>
      </c>
      <c r="E34" s="256">
        <v>13.199986999999998</v>
      </c>
      <c r="F34" s="256">
        <v>13.148378000000001</v>
      </c>
      <c r="G34" s="256">
        <v>13.125932000000001</v>
      </c>
      <c r="H34" s="256">
        <v>13.465238000000001</v>
      </c>
      <c r="I34" s="256">
        <v>14.017179000000002</v>
      </c>
      <c r="J34" s="256">
        <v>14.862878</v>
      </c>
      <c r="K34" s="256">
        <v>15.343073</v>
      </c>
      <c r="L34" s="256">
        <v>16.000112000000001</v>
      </c>
      <c r="M34" s="256">
        <v>16.760659</v>
      </c>
      <c r="N34" s="256">
        <v>18.495442999999998</v>
      </c>
      <c r="O34" s="256">
        <v>19.571959</v>
      </c>
      <c r="P34" s="256">
        <v>21.177198000000004</v>
      </c>
      <c r="Q34" s="256">
        <v>22.737038767671489</v>
      </c>
      <c r="R34" s="256">
        <v>25.413300507410138</v>
      </c>
      <c r="S34" s="256">
        <v>27.497397457737105</v>
      </c>
      <c r="T34" s="256">
        <v>29.197160077163733</v>
      </c>
      <c r="U34" s="257">
        <v>30.754676671994144</v>
      </c>
    </row>
    <row r="35" spans="1:21">
      <c r="A35" s="274"/>
      <c r="B35" s="283" t="s">
        <v>564</v>
      </c>
      <c r="C35" s="284">
        <v>11.067087522364915</v>
      </c>
      <c r="D35" s="285">
        <v>6.5585263253651327</v>
      </c>
      <c r="E35" s="285">
        <v>3.0055086151707044</v>
      </c>
      <c r="F35" s="285">
        <v>-0.3909776577810109</v>
      </c>
      <c r="G35" s="285">
        <v>-0.17071307198499586</v>
      </c>
      <c r="H35" s="285">
        <v>2.5850050114536671</v>
      </c>
      <c r="I35" s="285">
        <v>4.0990066421403126</v>
      </c>
      <c r="J35" s="285">
        <v>6.0333038480852474</v>
      </c>
      <c r="K35" s="285">
        <v>3.2308345664951332</v>
      </c>
      <c r="L35" s="285">
        <v>4.2823168474789952</v>
      </c>
      <c r="M35" s="285">
        <v>4.7533854763016636</v>
      </c>
      <c r="N35" s="285">
        <v>10.350332883689116</v>
      </c>
      <c r="O35" s="285">
        <v>5.820439121139187</v>
      </c>
      <c r="P35" s="285">
        <v>8.2017288100797892</v>
      </c>
      <c r="Q35" s="285">
        <v>7.3656617257461754</v>
      </c>
      <c r="R35" s="285">
        <v>11.7704938056572</v>
      </c>
      <c r="S35" s="285">
        <v>8.2008118139526012</v>
      </c>
      <c r="T35" s="285">
        <v>6.1815399876993027</v>
      </c>
      <c r="U35" s="286">
        <v>5.3344797600661353</v>
      </c>
    </row>
    <row r="36" spans="1:21">
      <c r="A36" s="274"/>
      <c r="B36" s="250" t="s">
        <v>568</v>
      </c>
      <c r="C36" s="255">
        <v>16.976618999999999</v>
      </c>
      <c r="D36" s="256">
        <v>13.332713</v>
      </c>
      <c r="E36" s="256">
        <v>14.452515</v>
      </c>
      <c r="F36" s="256">
        <v>16.636611000000002</v>
      </c>
      <c r="G36" s="256">
        <v>15.001258999999999</v>
      </c>
      <c r="H36" s="256">
        <v>15.244318</v>
      </c>
      <c r="I36" s="256">
        <v>15.635483999999998</v>
      </c>
      <c r="J36" s="256">
        <v>18.971017</v>
      </c>
      <c r="K36" s="256">
        <v>17.091296999999997</v>
      </c>
      <c r="L36" s="256">
        <v>17.86936</v>
      </c>
      <c r="M36" s="256">
        <v>18.787341999999999</v>
      </c>
      <c r="N36" s="256">
        <v>20.296420000000001</v>
      </c>
      <c r="O36" s="256">
        <v>18.225428999999995</v>
      </c>
      <c r="P36" s="256">
        <v>18.664424</v>
      </c>
      <c r="Q36" s="256">
        <v>21.942910223455918</v>
      </c>
      <c r="R36" s="256">
        <v>27.026791880796118</v>
      </c>
      <c r="S36" s="256">
        <v>28.600153598349287</v>
      </c>
      <c r="T36" s="256">
        <v>30.151935566370771</v>
      </c>
      <c r="U36" s="257">
        <v>29.813084970439441</v>
      </c>
    </row>
    <row r="37" spans="1:21">
      <c r="A37" s="274"/>
      <c r="B37" s="283" t="s">
        <v>564</v>
      </c>
      <c r="C37" s="284">
        <v>5.7024175744533112</v>
      </c>
      <c r="D37" s="285">
        <v>-21.464262112497188</v>
      </c>
      <c r="E37" s="285">
        <v>8.3989057590904359</v>
      </c>
      <c r="F37" s="285">
        <v>15.112220952547029</v>
      </c>
      <c r="G37" s="285">
        <v>-9.8298385410345972</v>
      </c>
      <c r="H37" s="285">
        <v>1.6202573397339437</v>
      </c>
      <c r="I37" s="285">
        <v>2.5659790093594204</v>
      </c>
      <c r="J37" s="285">
        <v>21.333097203770613</v>
      </c>
      <c r="K37" s="285">
        <v>-9.9083776056918875</v>
      </c>
      <c r="L37" s="285">
        <v>4.5523929518046735</v>
      </c>
      <c r="M37" s="285">
        <v>5.1371845438225039</v>
      </c>
      <c r="N37" s="285">
        <v>8.0324188488185335</v>
      </c>
      <c r="O37" s="285">
        <v>-10.203725583132417</v>
      </c>
      <c r="P37" s="285">
        <v>2.4086950161776866</v>
      </c>
      <c r="Q37" s="285">
        <v>17.565429415105015</v>
      </c>
      <c r="R37" s="285">
        <v>23.168675465416499</v>
      </c>
      <c r="S37" s="285">
        <v>5.8214890042910472</v>
      </c>
      <c r="T37" s="285">
        <v>5.425781937447538</v>
      </c>
      <c r="U37" s="286">
        <v>-1.1238104273121996</v>
      </c>
    </row>
    <row r="38" spans="1:21">
      <c r="A38" s="274"/>
      <c r="B38" s="250" t="s">
        <v>569</v>
      </c>
      <c r="C38" s="255">
        <v>54.973938000000011</v>
      </c>
      <c r="D38" s="256">
        <v>43.608103</v>
      </c>
      <c r="E38" s="256">
        <v>52.647456000000005</v>
      </c>
      <c r="F38" s="256">
        <v>60.542949</v>
      </c>
      <c r="G38" s="256">
        <v>66.896657000000005</v>
      </c>
      <c r="H38" s="256">
        <v>69.607559999999992</v>
      </c>
      <c r="I38" s="256">
        <v>69.788095999999996</v>
      </c>
      <c r="J38" s="256">
        <v>73.395839999999993</v>
      </c>
      <c r="K38" s="256">
        <v>75.955366000000012</v>
      </c>
      <c r="L38" s="256">
        <v>80.499315999999993</v>
      </c>
      <c r="M38" s="256">
        <v>86.132177000000013</v>
      </c>
      <c r="N38" s="256">
        <v>86.789104999999992</v>
      </c>
      <c r="O38" s="256">
        <v>79.470880000000008</v>
      </c>
      <c r="P38" s="256">
        <v>92.415876999999995</v>
      </c>
      <c r="Q38" s="256">
        <v>107.57252460147011</v>
      </c>
      <c r="R38" s="256">
        <v>115.04837619952205</v>
      </c>
      <c r="S38" s="256">
        <v>127.48993929944621</v>
      </c>
      <c r="T38" s="256">
        <v>140.38945675823891</v>
      </c>
      <c r="U38" s="257">
        <v>151.57781632568268</v>
      </c>
    </row>
    <row r="39" spans="1:21">
      <c r="A39" s="274"/>
      <c r="B39" s="283" t="s">
        <v>564</v>
      </c>
      <c r="C39" s="284">
        <v>4.3819248824107149</v>
      </c>
      <c r="D39" s="285">
        <v>-20.674951465183376</v>
      </c>
      <c r="E39" s="285">
        <v>20.728608625786826</v>
      </c>
      <c r="F39" s="285">
        <v>14.996912671335894</v>
      </c>
      <c r="G39" s="285">
        <v>10.494546606905475</v>
      </c>
      <c r="H39" s="285">
        <v>4.0523743959283154</v>
      </c>
      <c r="I39" s="285">
        <v>0.25936263244967783</v>
      </c>
      <c r="J39" s="285">
        <v>5.1695693202462589</v>
      </c>
      <c r="K39" s="285">
        <v>3.4872902878419376</v>
      </c>
      <c r="L39" s="285">
        <v>5.9823949765444917</v>
      </c>
      <c r="M39" s="285">
        <v>6.99740231333148</v>
      </c>
      <c r="N39" s="285">
        <v>0.76269754565705394</v>
      </c>
      <c r="O39" s="285">
        <v>-8.432193188303982</v>
      </c>
      <c r="P39" s="285">
        <v>16.288981574131277</v>
      </c>
      <c r="Q39" s="285">
        <v>16.400480191807421</v>
      </c>
      <c r="R39" s="285">
        <v>6.9495920317461657</v>
      </c>
      <c r="S39" s="285">
        <v>10.814201391549783</v>
      </c>
      <c r="T39" s="285">
        <v>10.118066986050177</v>
      </c>
      <c r="U39" s="286">
        <v>7.9695155361352965</v>
      </c>
    </row>
    <row r="40" spans="1:21">
      <c r="A40" s="274"/>
      <c r="B40" s="250" t="s">
        <v>570</v>
      </c>
      <c r="C40" s="255">
        <v>56.191327999999999</v>
      </c>
      <c r="D40" s="256">
        <v>43.716074999999996</v>
      </c>
      <c r="E40" s="256">
        <v>52.875141000000006</v>
      </c>
      <c r="F40" s="256">
        <v>60.053091000000002</v>
      </c>
      <c r="G40" s="256">
        <v>62.848645000000005</v>
      </c>
      <c r="H40" s="256">
        <v>65.485629000000003</v>
      </c>
      <c r="I40" s="256">
        <v>66.148533</v>
      </c>
      <c r="J40" s="256">
        <v>70.981709000000009</v>
      </c>
      <c r="K40" s="256">
        <v>73.599776000000006</v>
      </c>
      <c r="L40" s="256">
        <v>78.730103999999997</v>
      </c>
      <c r="M40" s="256">
        <v>84.453611999999993</v>
      </c>
      <c r="N40" s="256">
        <v>86.483247000000006</v>
      </c>
      <c r="O40" s="256">
        <v>77.943927000000002</v>
      </c>
      <c r="P40" s="256">
        <v>92.637353999999988</v>
      </c>
      <c r="Q40" s="256">
        <v>113.78853764102155</v>
      </c>
      <c r="R40" s="256">
        <v>125.84700557552584</v>
      </c>
      <c r="S40" s="256">
        <v>138.08273169162297</v>
      </c>
      <c r="T40" s="256">
        <v>150.25923132383448</v>
      </c>
      <c r="U40" s="257">
        <v>159.69795054063388</v>
      </c>
    </row>
    <row r="41" spans="1:21">
      <c r="A41" s="274"/>
      <c r="B41" s="283" t="s">
        <v>564</v>
      </c>
      <c r="C41" s="284">
        <v>7.2493298459070266</v>
      </c>
      <c r="D41" s="285">
        <v>-22.201384882734942</v>
      </c>
      <c r="E41" s="285">
        <v>20.951254201114832</v>
      </c>
      <c r="F41" s="285">
        <v>13.575282948181645</v>
      </c>
      <c r="G41" s="285">
        <v>4.6551375681894713</v>
      </c>
      <c r="H41" s="285">
        <v>4.1957690575508799</v>
      </c>
      <c r="I41" s="285">
        <v>1.0122892764762081</v>
      </c>
      <c r="J41" s="285">
        <v>7.3065505473870473</v>
      </c>
      <c r="K41" s="285">
        <v>3.6883685063147986</v>
      </c>
      <c r="L41" s="285">
        <v>6.9705755626212396</v>
      </c>
      <c r="M41" s="285">
        <v>7.269783360123605</v>
      </c>
      <c r="N41" s="285">
        <v>2.4032542267108825</v>
      </c>
      <c r="O41" s="285">
        <v>-9.8739585945472275</v>
      </c>
      <c r="P41" s="285">
        <v>18.851278817399077</v>
      </c>
      <c r="Q41" s="285">
        <v>22.832240697442163</v>
      </c>
      <c r="R41" s="285">
        <v>10.597260659545672</v>
      </c>
      <c r="S41" s="285">
        <v>9.7226994477464643</v>
      </c>
      <c r="T41" s="285">
        <v>8.8182638647423595</v>
      </c>
      <c r="U41" s="286">
        <v>6.2816235206589965</v>
      </c>
    </row>
    <row r="42" spans="1:21">
      <c r="A42" s="287"/>
      <c r="B42" s="288"/>
      <c r="C42" s="289"/>
      <c r="D42" s="290"/>
      <c r="E42" s="290"/>
      <c r="F42" s="290"/>
      <c r="G42" s="290"/>
      <c r="H42" s="290"/>
      <c r="I42" s="290"/>
      <c r="J42" s="290"/>
      <c r="K42" s="290"/>
      <c r="L42" s="290"/>
      <c r="M42" s="290"/>
      <c r="N42" s="290"/>
      <c r="O42" s="290"/>
      <c r="P42" s="290"/>
      <c r="Q42" s="290"/>
      <c r="R42" s="290"/>
      <c r="S42" s="574"/>
      <c r="T42" s="574"/>
      <c r="U42" s="575"/>
    </row>
    <row r="43" spans="1:21">
      <c r="A43" s="272"/>
      <c r="B43" s="291"/>
      <c r="C43" s="292"/>
      <c r="D43" s="293"/>
      <c r="E43" s="293"/>
      <c r="F43" s="293"/>
      <c r="G43" s="293"/>
      <c r="H43" s="293"/>
      <c r="I43" s="293"/>
      <c r="J43" s="293"/>
      <c r="K43" s="293"/>
      <c r="L43" s="293"/>
      <c r="M43" s="293"/>
      <c r="N43" s="293"/>
      <c r="O43" s="293"/>
      <c r="P43" s="293"/>
      <c r="Q43" s="293"/>
      <c r="R43" s="293"/>
      <c r="S43" s="577"/>
      <c r="T43" s="577"/>
      <c r="U43" s="295"/>
    </row>
    <row r="44" spans="1:21">
      <c r="A44" s="274"/>
      <c r="B44" s="297" t="s">
        <v>572</v>
      </c>
      <c r="C44" s="298"/>
      <c r="D44" s="299"/>
      <c r="E44" s="299"/>
      <c r="F44" s="299"/>
      <c r="G44" s="299"/>
      <c r="H44" s="299"/>
      <c r="I44" s="299"/>
      <c r="J44" s="299"/>
      <c r="K44" s="299"/>
      <c r="L44" s="299"/>
      <c r="M44" s="299"/>
      <c r="N44" s="299"/>
      <c r="O44" s="299"/>
      <c r="P44" s="299"/>
      <c r="Q44" s="299"/>
      <c r="R44" s="299"/>
      <c r="S44" s="578"/>
      <c r="T44" s="578"/>
      <c r="U44" s="286"/>
    </row>
    <row r="45" spans="1:21">
      <c r="A45" s="274"/>
      <c r="B45" s="300"/>
      <c r="C45" s="298"/>
      <c r="D45" s="299"/>
      <c r="E45" s="299"/>
      <c r="F45" s="299"/>
      <c r="G45" s="299"/>
      <c r="H45" s="299"/>
      <c r="I45" s="299"/>
      <c r="J45" s="299"/>
      <c r="K45" s="299"/>
      <c r="L45" s="299"/>
      <c r="M45" s="299"/>
      <c r="N45" s="299"/>
      <c r="O45" s="299"/>
      <c r="P45" s="299"/>
      <c r="Q45" s="299"/>
      <c r="R45" s="299"/>
      <c r="S45" s="578"/>
      <c r="T45" s="578"/>
      <c r="U45" s="286"/>
    </row>
    <row r="46" spans="1:21">
      <c r="A46" s="274"/>
      <c r="B46" s="297" t="s">
        <v>573</v>
      </c>
      <c r="C46" s="251">
        <v>6.8673261391923353</v>
      </c>
      <c r="D46" s="252">
        <v>-7.6310979983230958</v>
      </c>
      <c r="E46" s="252">
        <v>6.25291961810799</v>
      </c>
      <c r="F46" s="252">
        <v>0.42525123492057693</v>
      </c>
      <c r="G46" s="252">
        <v>-4.5942011617027463</v>
      </c>
      <c r="H46" s="252">
        <v>1.5691434558883433E-2</v>
      </c>
      <c r="I46" s="252">
        <v>3.2376934363807974</v>
      </c>
      <c r="J46" s="252">
        <v>6.4932984673302938</v>
      </c>
      <c r="K46" s="252">
        <v>1.6117380455354435</v>
      </c>
      <c r="L46" s="252">
        <v>3.1821321814195502</v>
      </c>
      <c r="M46" s="252">
        <v>3.5866169876851388</v>
      </c>
      <c r="N46" s="252">
        <v>3.7569771803764009</v>
      </c>
      <c r="O46" s="252">
        <v>-5.0785158187737389</v>
      </c>
      <c r="P46" s="252">
        <v>4.0330458256896833</v>
      </c>
      <c r="Q46" s="252">
        <v>2.7520246791159177</v>
      </c>
      <c r="R46" s="252">
        <v>3.7807316654871101</v>
      </c>
      <c r="S46" s="256">
        <v>1.0497489488236464</v>
      </c>
      <c r="T46" s="256">
        <v>1.2509640893138905</v>
      </c>
      <c r="U46" s="257">
        <v>0.17070788083722341</v>
      </c>
    </row>
    <row r="47" spans="1:21">
      <c r="A47" s="274"/>
      <c r="B47" s="250" t="s">
        <v>574</v>
      </c>
      <c r="C47" s="251">
        <v>4.1432928229211177</v>
      </c>
      <c r="D47" s="252">
        <v>-0.10385175460290845</v>
      </c>
      <c r="E47" s="252">
        <v>0.52554556483525261</v>
      </c>
      <c r="F47" s="252">
        <v>-1.1453354805836609</v>
      </c>
      <c r="G47" s="252">
        <v>0.22684455766567871</v>
      </c>
      <c r="H47" s="252">
        <v>-0.66726034945263912</v>
      </c>
      <c r="I47" s="252">
        <v>1.043752015818793</v>
      </c>
      <c r="J47" s="252">
        <v>1.5232458169636154</v>
      </c>
      <c r="K47" s="252">
        <v>2.0998652023871243</v>
      </c>
      <c r="L47" s="252">
        <v>2.5345436594607063</v>
      </c>
      <c r="M47" s="252">
        <v>2.2732059901207067</v>
      </c>
      <c r="N47" s="252">
        <v>1.5053660821791925</v>
      </c>
      <c r="O47" s="252">
        <v>-0.68353570608759473</v>
      </c>
      <c r="P47" s="252">
        <v>0.94646617046018033</v>
      </c>
      <c r="Q47" s="252">
        <v>2.5300857259364586</v>
      </c>
      <c r="R47" s="252">
        <v>0.38576807945839858</v>
      </c>
      <c r="S47" s="256">
        <v>0.60448198673448539</v>
      </c>
      <c r="T47" s="256">
        <v>0.85376161532812644</v>
      </c>
      <c r="U47" s="257">
        <v>0.74034892995428148</v>
      </c>
    </row>
    <row r="48" spans="1:21">
      <c r="A48" s="274"/>
      <c r="B48" s="250" t="s">
        <v>575</v>
      </c>
      <c r="C48" s="251">
        <v>1.1482493506267075</v>
      </c>
      <c r="D48" s="252">
        <v>1.1033191844227535</v>
      </c>
      <c r="E48" s="252">
        <v>0.43773152340075333</v>
      </c>
      <c r="F48" s="252">
        <v>-0.46486662067566126</v>
      </c>
      <c r="G48" s="252">
        <v>-0.37743794301873584</v>
      </c>
      <c r="H48" s="252">
        <v>0.26965041211922558</v>
      </c>
      <c r="I48" s="252">
        <v>0.69284992646271348</v>
      </c>
      <c r="J48" s="252">
        <v>0.98247241377857564</v>
      </c>
      <c r="K48" s="252">
        <v>0.35775007897556366</v>
      </c>
      <c r="L48" s="252">
        <v>0.19586292039145944</v>
      </c>
      <c r="M48" s="252">
        <v>8.9771390683277594E-2</v>
      </c>
      <c r="N48" s="252">
        <v>0.79972355190078859</v>
      </c>
      <c r="O48" s="252">
        <v>-0.11579285836431083</v>
      </c>
      <c r="P48" s="252">
        <v>0.76632582736260513</v>
      </c>
      <c r="Q48" s="252">
        <v>-0.4609588113556774</v>
      </c>
      <c r="R48" s="252">
        <v>0.41980459615354787</v>
      </c>
      <c r="S48" s="256">
        <v>0.25387139513323598</v>
      </c>
      <c r="T48" s="256">
        <v>9.685691422871627E-2</v>
      </c>
      <c r="U48" s="257">
        <v>0.17020932525226212</v>
      </c>
    </row>
    <row r="49" spans="1:21">
      <c r="A49" s="274"/>
      <c r="B49" s="250" t="s">
        <v>576</v>
      </c>
      <c r="C49" s="251">
        <v>0.89615055014203393</v>
      </c>
      <c r="D49" s="252">
        <v>-4.7064380570823907</v>
      </c>
      <c r="E49" s="252">
        <v>1.7325142977901904</v>
      </c>
      <c r="F49" s="252">
        <v>2.9031198862463476</v>
      </c>
      <c r="G49" s="252">
        <v>-2.2817409488668319</v>
      </c>
      <c r="H49" s="252">
        <v>0.24555711503805835</v>
      </c>
      <c r="I49" s="252">
        <v>0.61131945806595733</v>
      </c>
      <c r="J49" s="252">
        <v>4.3883338183319962</v>
      </c>
      <c r="K49" s="252">
        <v>-2.1810610202564815</v>
      </c>
      <c r="L49" s="252">
        <v>0.61263171376786418</v>
      </c>
      <c r="M49" s="252">
        <v>0.58791382826571081</v>
      </c>
      <c r="N49" s="252">
        <v>1.4044131847323797</v>
      </c>
      <c r="O49" s="252">
        <v>-2.347503133903007</v>
      </c>
      <c r="P49" s="252">
        <v>4.3130878216601359E-2</v>
      </c>
      <c r="Q49" s="252">
        <v>1.2883734113043168</v>
      </c>
      <c r="R49" s="252">
        <v>2.9782941065912159</v>
      </c>
      <c r="S49" s="256">
        <v>0.27451982901745542</v>
      </c>
      <c r="T49" s="256">
        <v>0.30220266821498354</v>
      </c>
      <c r="U49" s="257">
        <v>-0.73973731120728781</v>
      </c>
    </row>
    <row r="50" spans="1:21">
      <c r="A50" s="274"/>
      <c r="B50" s="250" t="s">
        <v>577</v>
      </c>
      <c r="C50" s="251">
        <v>0.67963341550248679</v>
      </c>
      <c r="D50" s="252">
        <v>-3.924127371060584</v>
      </c>
      <c r="E50" s="252">
        <v>3.5571282320818076</v>
      </c>
      <c r="F50" s="252">
        <v>-0.86766655006644022</v>
      </c>
      <c r="G50" s="252">
        <v>-2.1618668274828554</v>
      </c>
      <c r="H50" s="252">
        <v>0.16774425685424288</v>
      </c>
      <c r="I50" s="252">
        <v>0.88977203603332278</v>
      </c>
      <c r="J50" s="252">
        <v>-0.40075358174391212</v>
      </c>
      <c r="K50" s="252">
        <v>1.3351837844292527</v>
      </c>
      <c r="L50" s="252">
        <v>-0.1609061122004839</v>
      </c>
      <c r="M50" s="252">
        <v>0.63572577861544766</v>
      </c>
      <c r="N50" s="252">
        <v>4.7474361564037025E-2</v>
      </c>
      <c r="O50" s="252">
        <v>-1.9316841204188189</v>
      </c>
      <c r="P50" s="252">
        <v>2.2771229496502827</v>
      </c>
      <c r="Q50" s="252">
        <v>-0.60547564676916088</v>
      </c>
      <c r="R50" s="252">
        <v>-3.1351167160433898E-3</v>
      </c>
      <c r="S50" s="256">
        <v>-8.3124262061542747E-2</v>
      </c>
      <c r="T50" s="256">
        <v>-1.8571084579492121E-3</v>
      </c>
      <c r="U50" s="257">
        <v>-1.1306316201936706E-4</v>
      </c>
    </row>
    <row r="51" spans="1:21">
      <c r="A51" s="274"/>
      <c r="B51" s="301"/>
      <c r="C51" s="251"/>
      <c r="D51" s="252"/>
      <c r="E51" s="252"/>
      <c r="F51" s="252"/>
      <c r="G51" s="252"/>
      <c r="H51" s="252"/>
      <c r="I51" s="252"/>
      <c r="J51" s="252"/>
      <c r="K51" s="252"/>
      <c r="L51" s="252"/>
      <c r="M51" s="252"/>
      <c r="N51" s="252"/>
      <c r="O51" s="252"/>
      <c r="P51" s="252"/>
      <c r="Q51" s="252"/>
      <c r="R51" s="252"/>
      <c r="S51" s="256"/>
      <c r="T51" s="256"/>
      <c r="U51" s="257"/>
    </row>
    <row r="52" spans="1:21">
      <c r="A52" s="274"/>
      <c r="B52" s="297" t="s">
        <v>578</v>
      </c>
      <c r="C52" s="251">
        <v>-1.0543809691220449</v>
      </c>
      <c r="D52" s="252">
        <v>3.0073942517613905</v>
      </c>
      <c r="E52" s="252">
        <v>1.0604062003251034E-2</v>
      </c>
      <c r="F52" s="252">
        <v>1.8544925117396325</v>
      </c>
      <c r="G52" s="252">
        <v>5.5387910419371797</v>
      </c>
      <c r="H52" s="252">
        <v>0.54496265410089417</v>
      </c>
      <c r="I52" s="252">
        <v>-0.51394415522809767</v>
      </c>
      <c r="J52" s="252">
        <v>-1.3112630524218662</v>
      </c>
      <c r="K52" s="252">
        <v>0.33221281548790627</v>
      </c>
      <c r="L52" s="252">
        <v>-0.2393991679535262</v>
      </c>
      <c r="M52" s="252">
        <v>0.47511772839455479</v>
      </c>
      <c r="N52" s="252">
        <v>-1.2653488708225271</v>
      </c>
      <c r="O52" s="252">
        <v>1.5441579102399283</v>
      </c>
      <c r="P52" s="252">
        <v>-0.89861170343506946</v>
      </c>
      <c r="Q52" s="252">
        <v>-0.80359052996018721</v>
      </c>
      <c r="R52" s="252">
        <v>-2.6670174701460612</v>
      </c>
      <c r="S52" s="256">
        <v>0.67669801825501175</v>
      </c>
      <c r="T52" s="256">
        <v>1.4013260223051094</v>
      </c>
      <c r="U52" s="257">
        <v>1.7371754121406298</v>
      </c>
    </row>
    <row r="53" spans="1:21">
      <c r="A53" s="274"/>
      <c r="B53" s="297"/>
      <c r="C53" s="289"/>
      <c r="D53" s="290"/>
      <c r="E53" s="290"/>
      <c r="F53" s="290"/>
      <c r="G53" s="290"/>
      <c r="H53" s="290"/>
      <c r="I53" s="290"/>
      <c r="J53" s="290"/>
      <c r="K53" s="290"/>
      <c r="L53" s="290"/>
      <c r="M53" s="290"/>
      <c r="N53" s="290"/>
      <c r="O53" s="290"/>
      <c r="P53" s="290"/>
      <c r="Q53" s="290"/>
      <c r="R53" s="290"/>
      <c r="S53" s="574"/>
      <c r="T53" s="574"/>
      <c r="U53" s="575"/>
    </row>
    <row r="54" spans="1:21">
      <c r="A54" s="272"/>
      <c r="B54" s="302"/>
      <c r="C54" s="272"/>
      <c r="D54" s="273"/>
      <c r="E54" s="303"/>
      <c r="F54" s="303"/>
      <c r="G54" s="303"/>
      <c r="H54" s="303"/>
      <c r="I54" s="303"/>
      <c r="J54" s="303"/>
      <c r="K54" s="303"/>
      <c r="L54" s="303"/>
      <c r="M54" s="303"/>
      <c r="N54" s="303"/>
      <c r="O54" s="303"/>
      <c r="P54" s="303"/>
      <c r="Q54" s="303"/>
      <c r="R54" s="303"/>
      <c r="S54" s="303"/>
      <c r="T54" s="303"/>
      <c r="U54" s="579"/>
    </row>
    <row r="55" spans="1:21">
      <c r="A55" s="274"/>
      <c r="B55" s="280" t="s">
        <v>579</v>
      </c>
      <c r="C55" s="274"/>
      <c r="E55" s="304"/>
      <c r="F55" s="304"/>
      <c r="G55" s="304"/>
      <c r="H55" s="304"/>
      <c r="I55" s="304"/>
      <c r="J55" s="304"/>
      <c r="K55" s="304"/>
      <c r="L55" s="304"/>
      <c r="M55" s="304"/>
      <c r="N55" s="304"/>
      <c r="O55" s="304"/>
      <c r="P55" s="304"/>
      <c r="Q55" s="304"/>
      <c r="R55" s="304"/>
      <c r="S55" s="304"/>
      <c r="T55" s="304"/>
      <c r="U55" s="257"/>
    </row>
    <row r="56" spans="1:21">
      <c r="A56" s="274"/>
      <c r="B56" s="306"/>
      <c r="C56" s="274"/>
      <c r="E56" s="304"/>
      <c r="F56" s="304"/>
      <c r="G56" s="304"/>
      <c r="H56" s="304"/>
      <c r="I56" s="304"/>
      <c r="J56" s="304"/>
      <c r="K56" s="304"/>
      <c r="L56" s="304"/>
      <c r="M56" s="304"/>
      <c r="N56" s="304"/>
      <c r="O56" s="304"/>
      <c r="P56" s="304"/>
      <c r="Q56" s="304"/>
      <c r="R56" s="304"/>
      <c r="S56" s="304"/>
      <c r="T56" s="304"/>
      <c r="U56" s="257"/>
    </row>
    <row r="57" spans="1:21">
      <c r="A57" s="274"/>
      <c r="B57" s="280" t="s">
        <v>580</v>
      </c>
      <c r="C57" s="255">
        <v>1.9819843672594675</v>
      </c>
      <c r="D57" s="256">
        <v>-21.127940578637048</v>
      </c>
      <c r="E57" s="256">
        <v>8.703050079856478</v>
      </c>
      <c r="F57" s="256">
        <v>13.083427185993374</v>
      </c>
      <c r="G57" s="256">
        <v>-8.2487985146471807</v>
      </c>
      <c r="H57" s="256">
        <v>0.43308898344487862</v>
      </c>
      <c r="I57" s="256">
        <v>-1.2220010764337166</v>
      </c>
      <c r="J57" s="256">
        <v>8.8883991292368361</v>
      </c>
      <c r="K57" s="256">
        <v>2.9589926138623523</v>
      </c>
      <c r="L57" s="256">
        <v>2.6709001247624347</v>
      </c>
      <c r="M57" s="256">
        <v>0.28690086929051156</v>
      </c>
      <c r="N57" s="256">
        <v>6.8435218262470174</v>
      </c>
      <c r="O57" s="256">
        <v>-9.8745271829774559</v>
      </c>
      <c r="P57" s="256">
        <v>1.2962767525114172</v>
      </c>
      <c r="Q57" s="256">
        <v>4.310555359477493</v>
      </c>
      <c r="R57" s="256">
        <v>5.8851536226176915</v>
      </c>
      <c r="S57" s="256">
        <v>0.58018402853168249</v>
      </c>
      <c r="T57" s="256">
        <v>3.1313373955030839</v>
      </c>
      <c r="U57" s="257">
        <v>0.86464306045484718</v>
      </c>
    </row>
    <row r="58" spans="1:21">
      <c r="A58" s="274"/>
      <c r="B58" s="307" t="s">
        <v>581</v>
      </c>
      <c r="C58" s="255">
        <v>2.0445891170676238</v>
      </c>
      <c r="D58" s="256">
        <v>-21.196464562961896</v>
      </c>
      <c r="E58" s="256">
        <v>8.6972653898589787</v>
      </c>
      <c r="F58" s="256">
        <v>11.748380221437641</v>
      </c>
      <c r="G58" s="256">
        <v>-8.5306857198592692</v>
      </c>
      <c r="H58" s="256">
        <v>1.6577734638553787</v>
      </c>
      <c r="I58" s="256">
        <v>-0.60446783204248522</v>
      </c>
      <c r="J58" s="256">
        <v>4.1708877527483734</v>
      </c>
      <c r="K58" s="256">
        <v>6.2043569939769023</v>
      </c>
      <c r="L58" s="256">
        <v>-0.70895695645709733</v>
      </c>
      <c r="M58" s="256">
        <v>2.6489368568518628</v>
      </c>
      <c r="N58" s="256">
        <v>7.3462352548629175</v>
      </c>
      <c r="O58" s="256">
        <v>-9.0351723428550823</v>
      </c>
      <c r="P58" s="256">
        <v>1.3378446004919948</v>
      </c>
      <c r="Q58" s="256">
        <v>4.6735995036957565</v>
      </c>
      <c r="R58" s="256">
        <v>2.9774303243477327</v>
      </c>
      <c r="S58" s="256">
        <v>2.3141057469492234</v>
      </c>
      <c r="T58" s="256">
        <v>2.4469515205461851</v>
      </c>
      <c r="U58" s="257">
        <v>1.5859279423172019</v>
      </c>
    </row>
    <row r="59" spans="1:21">
      <c r="A59" s="274"/>
      <c r="B59" s="254" t="s">
        <v>582</v>
      </c>
      <c r="C59" s="255">
        <v>-6.260474980816888E-2</v>
      </c>
      <c r="D59" s="256">
        <v>6.8523984324847756E-2</v>
      </c>
      <c r="E59" s="256">
        <v>5.7846899975162406E-3</v>
      </c>
      <c r="F59" s="256">
        <v>-0.21488779758272653</v>
      </c>
      <c r="G59" s="256">
        <v>-0.48420503167767648</v>
      </c>
      <c r="H59" s="256">
        <v>-1.1951806258787989</v>
      </c>
      <c r="I59" s="256">
        <v>-2.1034212960610938E-2</v>
      </c>
      <c r="J59" s="256">
        <v>3.6672468515017846</v>
      </c>
      <c r="K59" s="256">
        <v>-3.8947226035952096</v>
      </c>
      <c r="L59" s="256">
        <v>0.21641911275374526</v>
      </c>
      <c r="M59" s="256">
        <v>0.86119458419840411</v>
      </c>
      <c r="N59" s="256">
        <v>0.29917955129291024</v>
      </c>
      <c r="O59" s="256">
        <v>-0.2486949832887714</v>
      </c>
      <c r="P59" s="256">
        <v>-0.51252114681754002</v>
      </c>
      <c r="Q59" s="256">
        <v>2.250349440370342E-2</v>
      </c>
      <c r="R59" s="256">
        <v>1.4324940614481902</v>
      </c>
      <c r="S59" s="256">
        <v>-1.5650030983734804</v>
      </c>
      <c r="T59" s="256">
        <v>0.1196029954919241</v>
      </c>
      <c r="U59" s="257">
        <v>0.12846003621011323</v>
      </c>
    </row>
    <row r="60" spans="1:21">
      <c r="A60" s="274"/>
      <c r="B60" s="254" t="s">
        <v>583</v>
      </c>
      <c r="C60" s="255">
        <v>0</v>
      </c>
      <c r="D60" s="256">
        <v>0</v>
      </c>
      <c r="E60" s="256">
        <v>0</v>
      </c>
      <c r="F60" s="256">
        <v>0</v>
      </c>
      <c r="G60" s="256">
        <v>0</v>
      </c>
      <c r="H60" s="256">
        <v>0</v>
      </c>
      <c r="I60" s="256">
        <v>0</v>
      </c>
      <c r="J60" s="256">
        <v>0</v>
      </c>
      <c r="K60" s="256">
        <v>0</v>
      </c>
      <c r="L60" s="256">
        <v>0</v>
      </c>
      <c r="M60" s="256">
        <v>0</v>
      </c>
      <c r="N60" s="256">
        <v>0</v>
      </c>
      <c r="O60" s="256">
        <v>0</v>
      </c>
      <c r="P60" s="256">
        <v>3.5669581470968016E-3</v>
      </c>
      <c r="Q60" s="256">
        <v>8.8093924517937114E-2</v>
      </c>
      <c r="R60" s="256">
        <v>2.441194295079105</v>
      </c>
      <c r="S60" s="256">
        <v>8.3918007681635159E-4</v>
      </c>
      <c r="T60" s="256">
        <v>-0.50519519367144461</v>
      </c>
      <c r="U60" s="257">
        <v>-1.0552797185867109</v>
      </c>
    </row>
    <row r="61" spans="1:21">
      <c r="A61" s="274"/>
      <c r="B61" s="307" t="s">
        <v>584</v>
      </c>
      <c r="C61" s="255">
        <v>0</v>
      </c>
      <c r="D61" s="256">
        <v>0</v>
      </c>
      <c r="E61" s="256">
        <v>0</v>
      </c>
      <c r="F61" s="256">
        <v>1.5499347621384532</v>
      </c>
      <c r="G61" s="256">
        <v>0.76609223688976402</v>
      </c>
      <c r="H61" s="256">
        <v>-2.9503854531701006E-2</v>
      </c>
      <c r="I61" s="256">
        <v>-0.59649903143062322</v>
      </c>
      <c r="J61" s="256">
        <v>1.0502645249866751</v>
      </c>
      <c r="K61" s="256">
        <v>0.64935822348065786</v>
      </c>
      <c r="L61" s="256">
        <v>-1.0462199695509722</v>
      </c>
      <c r="M61" s="256">
        <v>-1.0747018134829935</v>
      </c>
      <c r="N61" s="256">
        <v>-0.61630678641989134</v>
      </c>
      <c r="O61" s="256">
        <v>-6.0965393066974086E-2</v>
      </c>
      <c r="P61" s="256">
        <v>0.24064400105836756</v>
      </c>
      <c r="Q61" s="256">
        <v>0.43599218374246879</v>
      </c>
      <c r="R61" s="256">
        <v>-0.48745059080187259</v>
      </c>
      <c r="S61" s="256">
        <v>-0.3700032191799093</v>
      </c>
      <c r="T61" s="256">
        <v>0</v>
      </c>
      <c r="U61" s="257">
        <v>0</v>
      </c>
    </row>
    <row r="62" spans="1:21">
      <c r="A62" s="274"/>
      <c r="B62" s="307" t="s">
        <v>838</v>
      </c>
      <c r="C62" s="255">
        <v>0</v>
      </c>
      <c r="D62" s="256">
        <v>0</v>
      </c>
      <c r="E62" s="256">
        <v>0</v>
      </c>
      <c r="F62" s="256">
        <v>0</v>
      </c>
      <c r="G62" s="256">
        <v>0</v>
      </c>
      <c r="H62" s="256">
        <v>0</v>
      </c>
      <c r="I62" s="256">
        <v>0</v>
      </c>
      <c r="J62" s="256">
        <v>0</v>
      </c>
      <c r="K62" s="256">
        <v>0</v>
      </c>
      <c r="L62" s="256">
        <v>0</v>
      </c>
      <c r="M62" s="256">
        <v>0</v>
      </c>
      <c r="N62" s="256">
        <v>0</v>
      </c>
      <c r="O62" s="256">
        <v>0</v>
      </c>
      <c r="P62" s="256">
        <v>0</v>
      </c>
      <c r="Q62" s="256">
        <v>0</v>
      </c>
      <c r="R62" s="256">
        <v>0</v>
      </c>
      <c r="S62" s="256">
        <v>0.20024541905903592</v>
      </c>
      <c r="T62" s="256">
        <v>1.0699780731364112</v>
      </c>
      <c r="U62" s="257">
        <v>0.20553480051425985</v>
      </c>
    </row>
    <row r="63" spans="1:21">
      <c r="A63" s="274"/>
      <c r="B63" s="307"/>
      <c r="C63" s="255"/>
      <c r="D63" s="256"/>
      <c r="E63" s="256"/>
      <c r="F63" s="256"/>
      <c r="G63" s="256"/>
      <c r="H63" s="256"/>
      <c r="I63" s="256"/>
      <c r="J63" s="256"/>
      <c r="K63" s="256"/>
      <c r="L63" s="256"/>
      <c r="M63" s="256"/>
      <c r="N63" s="256"/>
      <c r="O63" s="256"/>
      <c r="P63" s="256"/>
      <c r="Q63" s="256"/>
      <c r="R63" s="256"/>
      <c r="S63" s="256"/>
      <c r="T63" s="256"/>
      <c r="U63" s="257"/>
    </row>
    <row r="64" spans="1:21">
      <c r="A64" s="274"/>
      <c r="B64" s="280" t="s">
        <v>585</v>
      </c>
      <c r="C64" s="255">
        <v>1.7086672451815494</v>
      </c>
      <c r="D64" s="256">
        <v>1.3930173521775131</v>
      </c>
      <c r="E64" s="256">
        <v>-0.1458947690903597</v>
      </c>
      <c r="F64" s="256">
        <v>1.0124211019243259</v>
      </c>
      <c r="G64" s="256">
        <v>-1.7206801486407135</v>
      </c>
      <c r="H64" s="256">
        <v>0.77433254807195595</v>
      </c>
      <c r="I64" s="256">
        <v>4.2108333943319787</v>
      </c>
      <c r="J64" s="256">
        <v>12.506065016856343</v>
      </c>
      <c r="K64" s="256">
        <v>-12.170928905949394</v>
      </c>
      <c r="L64" s="256">
        <v>0.23456248983494377</v>
      </c>
      <c r="M64" s="256">
        <v>2.5022183503151885</v>
      </c>
      <c r="N64" s="256">
        <v>-0.10039416551117794</v>
      </c>
      <c r="O64" s="256">
        <v>-0.95077524824090509</v>
      </c>
      <c r="P64" s="256">
        <v>-1.0807647556767328</v>
      </c>
      <c r="Q64" s="256">
        <v>2.3068460780234994</v>
      </c>
      <c r="R64" s="256">
        <v>8.7099406104816488</v>
      </c>
      <c r="S64" s="256">
        <v>0.60861190158761902</v>
      </c>
      <c r="T64" s="256">
        <v>-1.8153177019602607</v>
      </c>
      <c r="U64" s="257">
        <v>-4.1285667582077235</v>
      </c>
    </row>
    <row r="65" spans="1:21">
      <c r="A65" s="274"/>
      <c r="B65" s="254" t="s">
        <v>581</v>
      </c>
      <c r="C65" s="255">
        <v>1.8102827885371</v>
      </c>
      <c r="D65" s="256">
        <v>1.2817941315529966</v>
      </c>
      <c r="E65" s="256">
        <v>-0.15528406333787514</v>
      </c>
      <c r="F65" s="256">
        <v>1.5846731594169055</v>
      </c>
      <c r="G65" s="256">
        <v>-1.4830730679281325</v>
      </c>
      <c r="H65" s="256">
        <v>1.5738199564627544E-2</v>
      </c>
      <c r="I65" s="256">
        <v>4.3504004342334284</v>
      </c>
      <c r="J65" s="256">
        <v>5.0268698147278137</v>
      </c>
      <c r="K65" s="256">
        <v>-3.136110778114122</v>
      </c>
      <c r="L65" s="256">
        <v>-0.57495771757329273</v>
      </c>
      <c r="M65" s="256">
        <v>0.89695911428663899</v>
      </c>
      <c r="N65" s="256">
        <v>0.58903542648368357</v>
      </c>
      <c r="O65" s="256">
        <v>-0.94258133463486926</v>
      </c>
      <c r="P65" s="256">
        <v>-0.97686313723653362</v>
      </c>
      <c r="Q65" s="256">
        <v>1.8480926056424041</v>
      </c>
      <c r="R65" s="256">
        <v>1.7215854007225644</v>
      </c>
      <c r="S65" s="256">
        <v>1.0765452555650366</v>
      </c>
      <c r="T65" s="256">
        <v>0.15541811855133084</v>
      </c>
      <c r="U65" s="257">
        <v>0.45351038473931354</v>
      </c>
    </row>
    <row r="66" spans="1:21">
      <c r="A66" s="274"/>
      <c r="B66" s="254" t="s">
        <v>582</v>
      </c>
      <c r="C66" s="255">
        <v>-0.10161554335555199</v>
      </c>
      <c r="D66" s="256">
        <v>0.11122322062451838</v>
      </c>
      <c r="E66" s="256">
        <v>9.3892942475162916E-3</v>
      </c>
      <c r="F66" s="256">
        <v>-0.57225205749258179</v>
      </c>
      <c r="G66" s="256">
        <v>-0.23760708071257952</v>
      </c>
      <c r="H66" s="256">
        <v>0.75859434850732987</v>
      </c>
      <c r="I66" s="256">
        <v>-0.139567039901452</v>
      </c>
      <c r="J66" s="256">
        <v>7.4791952021285297</v>
      </c>
      <c r="K66" s="256">
        <v>-9.0348181278352726</v>
      </c>
      <c r="L66" s="256">
        <v>0.80952020740823882</v>
      </c>
      <c r="M66" s="256">
        <v>1.6052592360285507</v>
      </c>
      <c r="N66" s="256">
        <v>-0.68942959199486342</v>
      </c>
      <c r="O66" s="256">
        <v>-8.1939136060363918E-3</v>
      </c>
      <c r="P66" s="256">
        <v>-0.10390161844019857</v>
      </c>
      <c r="Q66" s="256">
        <v>0.40064335247175126</v>
      </c>
      <c r="R66" s="256">
        <v>2.517190102190511</v>
      </c>
      <c r="S66" s="256">
        <v>-3.2625044172917388</v>
      </c>
      <c r="T66" s="256">
        <v>-3.495058057818428E-2</v>
      </c>
      <c r="U66" s="257">
        <v>-0.40244357906483208</v>
      </c>
    </row>
    <row r="67" spans="1:21">
      <c r="A67" s="274"/>
      <c r="B67" s="254" t="s">
        <v>583</v>
      </c>
      <c r="C67" s="255">
        <v>0</v>
      </c>
      <c r="D67" s="256">
        <v>0</v>
      </c>
      <c r="E67" s="256">
        <v>0</v>
      </c>
      <c r="F67" s="256">
        <v>0</v>
      </c>
      <c r="G67" s="256">
        <v>0</v>
      </c>
      <c r="H67" s="256">
        <v>0</v>
      </c>
      <c r="I67" s="256">
        <v>0</v>
      </c>
      <c r="J67" s="256">
        <v>0</v>
      </c>
      <c r="K67" s="256">
        <v>0</v>
      </c>
      <c r="L67" s="256">
        <v>0</v>
      </c>
      <c r="M67" s="256">
        <v>0</v>
      </c>
      <c r="N67" s="256">
        <v>0</v>
      </c>
      <c r="O67" s="256">
        <v>0</v>
      </c>
      <c r="P67" s="256">
        <v>0</v>
      </c>
      <c r="Q67" s="256">
        <v>5.8110119909342998E-2</v>
      </c>
      <c r="R67" s="256">
        <v>4.4711651075685719</v>
      </c>
      <c r="S67" s="256">
        <v>2.7945710633143213</v>
      </c>
      <c r="T67" s="256">
        <v>-1.9357852399334086</v>
      </c>
      <c r="U67" s="257">
        <v>-4.1796335638822066</v>
      </c>
    </row>
    <row r="68" spans="1:21">
      <c r="A68" s="287"/>
      <c r="B68" s="308"/>
      <c r="C68" s="287"/>
      <c r="D68" s="309"/>
      <c r="E68" s="309"/>
      <c r="F68" s="309"/>
      <c r="G68" s="309"/>
      <c r="H68" s="309"/>
      <c r="I68" s="309"/>
      <c r="J68" s="309"/>
      <c r="K68" s="309"/>
      <c r="L68" s="309"/>
      <c r="M68" s="309"/>
      <c r="N68" s="309"/>
      <c r="O68" s="309"/>
      <c r="P68" s="309"/>
      <c r="Q68" s="309"/>
      <c r="R68" s="309"/>
      <c r="S68" s="580"/>
      <c r="T68" s="580"/>
      <c r="U68" s="581"/>
    </row>
    <row r="70" spans="1:21">
      <c r="O70" s="310"/>
      <c r="P70" s="310"/>
      <c r="Q70" s="310"/>
      <c r="R70" s="310"/>
      <c r="S70" s="582"/>
      <c r="T70" s="582"/>
    </row>
  </sheetData>
  <mergeCells count="3">
    <mergeCell ref="A1:R1"/>
    <mergeCell ref="A2:R2"/>
    <mergeCell ref="A3:R3"/>
  </mergeCells>
  <pageMargins left="0.7" right="0.7" top="0.75" bottom="0.75" header="0.3" footer="0.3"/>
  <pageSetup paperSize="9" scale="54"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B2:AS1363"/>
  <sheetViews>
    <sheetView zoomScale="80" zoomScaleNormal="80" workbookViewId="0">
      <selection activeCell="C1" sqref="C1"/>
    </sheetView>
  </sheetViews>
  <sheetFormatPr defaultColWidth="8.85546875" defaultRowHeight="15"/>
  <cols>
    <col min="1" max="1" width="1.85546875" style="330" customWidth="1"/>
    <col min="2" max="2" width="94.85546875" style="330" bestFit="1" customWidth="1"/>
    <col min="3" max="3" width="83.85546875" style="330" customWidth="1"/>
    <col min="4" max="4" width="30.5703125" style="330" customWidth="1"/>
    <col min="5" max="5" width="58" style="330" customWidth="1"/>
    <col min="6" max="6" width="35.28515625" style="330" customWidth="1"/>
    <col min="7" max="9" width="46.7109375" style="330" customWidth="1"/>
    <col min="10" max="10" width="32.28515625" style="330" customWidth="1"/>
    <col min="11" max="11" width="42.85546875" style="330" customWidth="1"/>
    <col min="12" max="12" width="35.140625" style="330" customWidth="1"/>
    <col min="13" max="34" width="14.42578125" style="330" customWidth="1"/>
    <col min="35" max="45" width="15.140625" style="330" customWidth="1"/>
    <col min="46" max="16384" width="8.85546875" style="330"/>
  </cols>
  <sheetData>
    <row r="2" spans="2:45">
      <c r="B2" s="491"/>
    </row>
    <row r="3" spans="2:45" ht="15.75" thickBot="1"/>
    <row r="4" spans="2:45" ht="115.5" customHeight="1" thickBot="1">
      <c r="B4" s="978" t="s">
        <v>73</v>
      </c>
      <c r="C4" s="979"/>
      <c r="D4" s="979"/>
      <c r="E4" s="979"/>
      <c r="F4" s="979"/>
      <c r="G4" s="979"/>
      <c r="H4" s="979"/>
      <c r="I4" s="979"/>
      <c r="J4" s="979"/>
      <c r="K4" s="979"/>
      <c r="L4" s="979"/>
      <c r="M4" s="979"/>
      <c r="N4" s="979"/>
      <c r="O4" s="979"/>
      <c r="P4" s="980"/>
    </row>
    <row r="6" spans="2:45">
      <c r="B6" s="331"/>
      <c r="C6" s="981" t="s">
        <v>599</v>
      </c>
      <c r="D6" s="982"/>
      <c r="E6" s="583"/>
    </row>
    <row r="7" spans="2:45">
      <c r="B7" s="332" t="s">
        <v>67</v>
      </c>
      <c r="C7" s="983"/>
      <c r="D7" s="984"/>
      <c r="E7" s="332"/>
      <c r="F7" s="333">
        <v>1</v>
      </c>
      <c r="G7" s="333">
        <v>2</v>
      </c>
      <c r="H7" s="333">
        <v>3</v>
      </c>
      <c r="I7" s="333">
        <v>4</v>
      </c>
      <c r="J7" s="333">
        <v>5</v>
      </c>
      <c r="K7" s="333">
        <v>6</v>
      </c>
      <c r="L7" s="333">
        <v>7</v>
      </c>
      <c r="M7" s="333">
        <v>8</v>
      </c>
      <c r="N7" s="333">
        <v>9</v>
      </c>
      <c r="O7" s="333">
        <v>10</v>
      </c>
      <c r="P7" s="333">
        <v>11</v>
      </c>
      <c r="Q7" s="333">
        <v>12</v>
      </c>
      <c r="R7" s="333">
        <v>13</v>
      </c>
      <c r="S7" s="333">
        <v>14</v>
      </c>
      <c r="T7" s="333">
        <v>15</v>
      </c>
      <c r="U7" s="333">
        <v>16</v>
      </c>
      <c r="V7" s="333">
        <v>17</v>
      </c>
      <c r="W7" s="333">
        <v>18</v>
      </c>
      <c r="X7" s="333">
        <v>19</v>
      </c>
      <c r="Y7" s="333">
        <v>20</v>
      </c>
      <c r="Z7" s="333">
        <v>21</v>
      </c>
      <c r="AA7" s="333">
        <v>22</v>
      </c>
      <c r="AB7" s="333">
        <v>23</v>
      </c>
      <c r="AC7" s="333">
        <v>24</v>
      </c>
      <c r="AD7" s="333">
        <v>25</v>
      </c>
      <c r="AE7" s="333">
        <v>26</v>
      </c>
      <c r="AF7" s="333">
        <v>27</v>
      </c>
      <c r="AG7" s="333">
        <v>28</v>
      </c>
      <c r="AH7" s="333">
        <v>29</v>
      </c>
      <c r="AI7" s="333">
        <v>30</v>
      </c>
      <c r="AJ7" s="333">
        <v>31</v>
      </c>
      <c r="AK7" s="333">
        <v>32</v>
      </c>
      <c r="AL7" s="333">
        <v>33</v>
      </c>
      <c r="AM7" s="333">
        <v>34</v>
      </c>
      <c r="AN7" s="333">
        <v>35</v>
      </c>
      <c r="AO7" s="333">
        <v>36</v>
      </c>
      <c r="AP7" s="333">
        <v>37</v>
      </c>
      <c r="AQ7" s="333">
        <v>38</v>
      </c>
      <c r="AR7" s="333">
        <v>39</v>
      </c>
      <c r="AS7" s="333">
        <v>40</v>
      </c>
    </row>
    <row r="8" spans="2:45">
      <c r="B8" s="334" t="s">
        <v>599</v>
      </c>
      <c r="C8" s="985"/>
      <c r="D8" s="986"/>
      <c r="E8" s="334" t="s">
        <v>8</v>
      </c>
      <c r="F8" s="332">
        <v>2024</v>
      </c>
      <c r="G8" s="332">
        <f>F8+$F$7</f>
        <v>2025</v>
      </c>
      <c r="H8" s="332">
        <f t="shared" ref="H8:AI8" si="0">G8+$F$7</f>
        <v>2026</v>
      </c>
      <c r="I8" s="332">
        <f t="shared" si="0"/>
        <v>2027</v>
      </c>
      <c r="J8" s="332">
        <f t="shared" si="0"/>
        <v>2028</v>
      </c>
      <c r="K8" s="332">
        <f t="shared" si="0"/>
        <v>2029</v>
      </c>
      <c r="L8" s="332">
        <f t="shared" si="0"/>
        <v>2030</v>
      </c>
      <c r="M8" s="332">
        <f t="shared" si="0"/>
        <v>2031</v>
      </c>
      <c r="N8" s="332">
        <f t="shared" si="0"/>
        <v>2032</v>
      </c>
      <c r="O8" s="332">
        <f t="shared" si="0"/>
        <v>2033</v>
      </c>
      <c r="P8" s="332">
        <f t="shared" si="0"/>
        <v>2034</v>
      </c>
      <c r="Q8" s="332">
        <f t="shared" si="0"/>
        <v>2035</v>
      </c>
      <c r="R8" s="332">
        <f t="shared" si="0"/>
        <v>2036</v>
      </c>
      <c r="S8" s="332">
        <f t="shared" si="0"/>
        <v>2037</v>
      </c>
      <c r="T8" s="332">
        <f t="shared" si="0"/>
        <v>2038</v>
      </c>
      <c r="U8" s="332">
        <f t="shared" si="0"/>
        <v>2039</v>
      </c>
      <c r="V8" s="332">
        <f t="shared" si="0"/>
        <v>2040</v>
      </c>
      <c r="W8" s="332">
        <f t="shared" si="0"/>
        <v>2041</v>
      </c>
      <c r="X8" s="332">
        <f t="shared" si="0"/>
        <v>2042</v>
      </c>
      <c r="Y8" s="332">
        <f t="shared" si="0"/>
        <v>2043</v>
      </c>
      <c r="Z8" s="332">
        <f t="shared" si="0"/>
        <v>2044</v>
      </c>
      <c r="AA8" s="332">
        <f t="shared" si="0"/>
        <v>2045</v>
      </c>
      <c r="AB8" s="332">
        <f t="shared" si="0"/>
        <v>2046</v>
      </c>
      <c r="AC8" s="332">
        <f t="shared" si="0"/>
        <v>2047</v>
      </c>
      <c r="AD8" s="332">
        <f t="shared" si="0"/>
        <v>2048</v>
      </c>
      <c r="AE8" s="332">
        <f t="shared" si="0"/>
        <v>2049</v>
      </c>
      <c r="AF8" s="332">
        <f t="shared" si="0"/>
        <v>2050</v>
      </c>
      <c r="AG8" s="332">
        <f t="shared" si="0"/>
        <v>2051</v>
      </c>
      <c r="AH8" s="332">
        <f t="shared" si="0"/>
        <v>2052</v>
      </c>
      <c r="AI8" s="332">
        <f t="shared" si="0"/>
        <v>2053</v>
      </c>
      <c r="AJ8" s="332">
        <f t="shared" ref="AJ8" si="1">AI8+$F$7</f>
        <v>2054</v>
      </c>
      <c r="AK8" s="332">
        <f t="shared" ref="AK8" si="2">AJ8+$F$7</f>
        <v>2055</v>
      </c>
      <c r="AL8" s="332">
        <f t="shared" ref="AL8" si="3">AK8+$F$7</f>
        <v>2056</v>
      </c>
      <c r="AM8" s="332">
        <f t="shared" ref="AM8" si="4">AL8+$F$7</f>
        <v>2057</v>
      </c>
      <c r="AN8" s="332">
        <f t="shared" ref="AN8" si="5">AM8+$F$7</f>
        <v>2058</v>
      </c>
      <c r="AO8" s="332">
        <f t="shared" ref="AO8" si="6">AN8+$F$7</f>
        <v>2059</v>
      </c>
      <c r="AP8" s="332">
        <f t="shared" ref="AP8" si="7">AO8+$F$7</f>
        <v>2060</v>
      </c>
      <c r="AQ8" s="332">
        <f t="shared" ref="AQ8" si="8">AP8+$F$7</f>
        <v>2061</v>
      </c>
      <c r="AR8" s="332">
        <f t="shared" ref="AR8" si="9">AQ8+$F$7</f>
        <v>2062</v>
      </c>
      <c r="AS8" s="332">
        <f t="shared" ref="AS8" si="10">AR8+$F$7</f>
        <v>2063</v>
      </c>
    </row>
    <row r="9" spans="2:45">
      <c r="B9" s="335" t="s">
        <v>73</v>
      </c>
      <c r="C9" s="987">
        <f>D199+D554+D1040</f>
        <v>5812342.4436784964</v>
      </c>
      <c r="D9" s="988"/>
      <c r="E9" s="337">
        <f>SUM(F9:AS9)</f>
        <v>232493697.7471399</v>
      </c>
      <c r="F9" s="337">
        <f t="shared" ref="F9:H9" si="11">$C$9</f>
        <v>5812342.4436784964</v>
      </c>
      <c r="G9" s="337">
        <f t="shared" si="11"/>
        <v>5812342.4436784964</v>
      </c>
      <c r="H9" s="337">
        <f t="shared" si="11"/>
        <v>5812342.4436784964</v>
      </c>
      <c r="I9" s="337">
        <f>$C$9</f>
        <v>5812342.4436784964</v>
      </c>
      <c r="J9" s="337">
        <f t="shared" ref="J9:AS9" si="12">$C$9</f>
        <v>5812342.4436784964</v>
      </c>
      <c r="K9" s="337">
        <f t="shared" si="12"/>
        <v>5812342.4436784964</v>
      </c>
      <c r="L9" s="337">
        <f t="shared" si="12"/>
        <v>5812342.4436784964</v>
      </c>
      <c r="M9" s="337">
        <f t="shared" si="12"/>
        <v>5812342.4436784964</v>
      </c>
      <c r="N9" s="337">
        <f t="shared" si="12"/>
        <v>5812342.4436784964</v>
      </c>
      <c r="O9" s="337">
        <f t="shared" si="12"/>
        <v>5812342.4436784964</v>
      </c>
      <c r="P9" s="337">
        <f t="shared" si="12"/>
        <v>5812342.4436784964</v>
      </c>
      <c r="Q9" s="337">
        <f t="shared" si="12"/>
        <v>5812342.4436784964</v>
      </c>
      <c r="R9" s="337">
        <f t="shared" si="12"/>
        <v>5812342.4436784964</v>
      </c>
      <c r="S9" s="337">
        <f t="shared" si="12"/>
        <v>5812342.4436784964</v>
      </c>
      <c r="T9" s="337">
        <f t="shared" si="12"/>
        <v>5812342.4436784964</v>
      </c>
      <c r="U9" s="337">
        <f t="shared" si="12"/>
        <v>5812342.4436784964</v>
      </c>
      <c r="V9" s="337">
        <f t="shared" si="12"/>
        <v>5812342.4436784964</v>
      </c>
      <c r="W9" s="337">
        <f t="shared" si="12"/>
        <v>5812342.4436784964</v>
      </c>
      <c r="X9" s="337">
        <f t="shared" si="12"/>
        <v>5812342.4436784964</v>
      </c>
      <c r="Y9" s="337">
        <f t="shared" si="12"/>
        <v>5812342.4436784964</v>
      </c>
      <c r="Z9" s="337">
        <f t="shared" si="12"/>
        <v>5812342.4436784964</v>
      </c>
      <c r="AA9" s="337">
        <f t="shared" si="12"/>
        <v>5812342.4436784964</v>
      </c>
      <c r="AB9" s="337">
        <f t="shared" si="12"/>
        <v>5812342.4436784964</v>
      </c>
      <c r="AC9" s="337">
        <f t="shared" si="12"/>
        <v>5812342.4436784964</v>
      </c>
      <c r="AD9" s="337">
        <f t="shared" si="12"/>
        <v>5812342.4436784964</v>
      </c>
      <c r="AE9" s="337">
        <f t="shared" si="12"/>
        <v>5812342.4436784964</v>
      </c>
      <c r="AF9" s="337">
        <f t="shared" si="12"/>
        <v>5812342.4436784964</v>
      </c>
      <c r="AG9" s="337">
        <f t="shared" si="12"/>
        <v>5812342.4436784964</v>
      </c>
      <c r="AH9" s="337">
        <f t="shared" si="12"/>
        <v>5812342.4436784964</v>
      </c>
      <c r="AI9" s="337">
        <f t="shared" si="12"/>
        <v>5812342.4436784964</v>
      </c>
      <c r="AJ9" s="337">
        <f t="shared" si="12"/>
        <v>5812342.4436784964</v>
      </c>
      <c r="AK9" s="337">
        <f t="shared" si="12"/>
        <v>5812342.4436784964</v>
      </c>
      <c r="AL9" s="337">
        <f t="shared" si="12"/>
        <v>5812342.4436784964</v>
      </c>
      <c r="AM9" s="337">
        <f t="shared" si="12"/>
        <v>5812342.4436784964</v>
      </c>
      <c r="AN9" s="337">
        <f t="shared" si="12"/>
        <v>5812342.4436784964</v>
      </c>
      <c r="AO9" s="337">
        <f t="shared" si="12"/>
        <v>5812342.4436784964</v>
      </c>
      <c r="AP9" s="337">
        <f t="shared" si="12"/>
        <v>5812342.4436784964</v>
      </c>
      <c r="AQ9" s="337">
        <f t="shared" si="12"/>
        <v>5812342.4436784964</v>
      </c>
      <c r="AR9" s="337">
        <f t="shared" si="12"/>
        <v>5812342.4436784964</v>
      </c>
      <c r="AS9" s="337">
        <f t="shared" si="12"/>
        <v>5812342.4436784964</v>
      </c>
    </row>
    <row r="10" spans="2:45">
      <c r="B10" s="335" t="s">
        <v>42</v>
      </c>
      <c r="C10" s="495"/>
      <c r="D10" s="495"/>
      <c r="E10" s="337">
        <f>SUM(F10:AS10)</f>
        <v>0</v>
      </c>
      <c r="F10" s="337">
        <v>0</v>
      </c>
      <c r="G10" s="337">
        <v>0</v>
      </c>
      <c r="H10" s="337">
        <v>0</v>
      </c>
      <c r="I10" s="337">
        <v>0</v>
      </c>
      <c r="J10" s="337">
        <v>0</v>
      </c>
      <c r="K10" s="337">
        <v>0</v>
      </c>
      <c r="L10" s="337">
        <v>0</v>
      </c>
      <c r="M10" s="337">
        <v>0</v>
      </c>
      <c r="N10" s="337">
        <v>0</v>
      </c>
      <c r="O10" s="337">
        <v>0</v>
      </c>
      <c r="P10" s="337">
        <v>0</v>
      </c>
      <c r="Q10" s="337">
        <v>0</v>
      </c>
      <c r="R10" s="337">
        <v>0</v>
      </c>
      <c r="S10" s="337">
        <v>0</v>
      </c>
      <c r="T10" s="337">
        <v>0</v>
      </c>
      <c r="U10" s="337">
        <v>0</v>
      </c>
      <c r="V10" s="337">
        <v>0</v>
      </c>
      <c r="W10" s="337">
        <v>0</v>
      </c>
      <c r="X10" s="337">
        <v>0</v>
      </c>
      <c r="Y10" s="337">
        <v>0</v>
      </c>
      <c r="Z10" s="337">
        <v>0</v>
      </c>
      <c r="AA10" s="337">
        <v>0</v>
      </c>
      <c r="AB10" s="337">
        <v>0</v>
      </c>
      <c r="AC10" s="337">
        <v>0</v>
      </c>
      <c r="AD10" s="337">
        <v>0</v>
      </c>
      <c r="AE10" s="337">
        <v>0</v>
      </c>
      <c r="AF10" s="337">
        <v>0</v>
      </c>
      <c r="AG10" s="337">
        <v>0</v>
      </c>
      <c r="AH10" s="337">
        <v>0</v>
      </c>
      <c r="AI10" s="337">
        <v>0</v>
      </c>
      <c r="AJ10" s="337">
        <v>0</v>
      </c>
      <c r="AK10" s="337">
        <v>0</v>
      </c>
      <c r="AL10" s="337">
        <v>0</v>
      </c>
      <c r="AM10" s="337">
        <v>0</v>
      </c>
      <c r="AN10" s="337">
        <v>0</v>
      </c>
      <c r="AO10" s="337">
        <v>0</v>
      </c>
      <c r="AP10" s="337">
        <v>0</v>
      </c>
      <c r="AQ10" s="337">
        <v>0</v>
      </c>
      <c r="AR10" s="337">
        <v>0</v>
      </c>
      <c r="AS10" s="337">
        <v>0</v>
      </c>
    </row>
    <row r="11" spans="2:45">
      <c r="B11" s="335" t="s">
        <v>586</v>
      </c>
      <c r="C11" s="987">
        <f>E48</f>
        <v>141850.43174588273</v>
      </c>
      <c r="D11" s="988"/>
      <c r="E11" s="337">
        <f>SUM(F11:AS11)</f>
        <v>5674017.2698353101</v>
      </c>
      <c r="F11" s="337">
        <f>C11</f>
        <v>141850.43174588273</v>
      </c>
      <c r="G11" s="337">
        <f t="shared" ref="G11:AI11" si="13">F11</f>
        <v>141850.43174588273</v>
      </c>
      <c r="H11" s="337">
        <f t="shared" si="13"/>
        <v>141850.43174588273</v>
      </c>
      <c r="I11" s="337">
        <f t="shared" si="13"/>
        <v>141850.43174588273</v>
      </c>
      <c r="J11" s="337">
        <f t="shared" si="13"/>
        <v>141850.43174588273</v>
      </c>
      <c r="K11" s="337">
        <f t="shared" si="13"/>
        <v>141850.43174588273</v>
      </c>
      <c r="L11" s="337">
        <f t="shared" si="13"/>
        <v>141850.43174588273</v>
      </c>
      <c r="M11" s="337">
        <f t="shared" si="13"/>
        <v>141850.43174588273</v>
      </c>
      <c r="N11" s="337">
        <f t="shared" si="13"/>
        <v>141850.43174588273</v>
      </c>
      <c r="O11" s="337">
        <f t="shared" si="13"/>
        <v>141850.43174588273</v>
      </c>
      <c r="P11" s="337">
        <f t="shared" si="13"/>
        <v>141850.43174588273</v>
      </c>
      <c r="Q11" s="337">
        <f t="shared" si="13"/>
        <v>141850.43174588273</v>
      </c>
      <c r="R11" s="337">
        <f t="shared" si="13"/>
        <v>141850.43174588273</v>
      </c>
      <c r="S11" s="337">
        <f t="shared" si="13"/>
        <v>141850.43174588273</v>
      </c>
      <c r="T11" s="337">
        <f t="shared" si="13"/>
        <v>141850.43174588273</v>
      </c>
      <c r="U11" s="337">
        <f t="shared" si="13"/>
        <v>141850.43174588273</v>
      </c>
      <c r="V11" s="337">
        <f t="shared" si="13"/>
        <v>141850.43174588273</v>
      </c>
      <c r="W11" s="337">
        <f t="shared" si="13"/>
        <v>141850.43174588273</v>
      </c>
      <c r="X11" s="337">
        <f t="shared" si="13"/>
        <v>141850.43174588273</v>
      </c>
      <c r="Y11" s="337">
        <f t="shared" si="13"/>
        <v>141850.43174588273</v>
      </c>
      <c r="Z11" s="337">
        <f t="shared" si="13"/>
        <v>141850.43174588273</v>
      </c>
      <c r="AA11" s="337">
        <f t="shared" si="13"/>
        <v>141850.43174588273</v>
      </c>
      <c r="AB11" s="337">
        <f t="shared" si="13"/>
        <v>141850.43174588273</v>
      </c>
      <c r="AC11" s="337">
        <f t="shared" si="13"/>
        <v>141850.43174588273</v>
      </c>
      <c r="AD11" s="337">
        <f t="shared" si="13"/>
        <v>141850.43174588273</v>
      </c>
      <c r="AE11" s="337">
        <f t="shared" si="13"/>
        <v>141850.43174588273</v>
      </c>
      <c r="AF11" s="337">
        <f t="shared" si="13"/>
        <v>141850.43174588273</v>
      </c>
      <c r="AG11" s="337">
        <f t="shared" si="13"/>
        <v>141850.43174588273</v>
      </c>
      <c r="AH11" s="337">
        <f t="shared" si="13"/>
        <v>141850.43174588273</v>
      </c>
      <c r="AI11" s="337">
        <f t="shared" si="13"/>
        <v>141850.43174588273</v>
      </c>
      <c r="AJ11" s="337">
        <f t="shared" ref="AJ11" si="14">AI11</f>
        <v>141850.43174588273</v>
      </c>
      <c r="AK11" s="337">
        <f t="shared" ref="AK11" si="15">AJ11</f>
        <v>141850.43174588273</v>
      </c>
      <c r="AL11" s="337">
        <f t="shared" ref="AL11" si="16">AK11</f>
        <v>141850.43174588273</v>
      </c>
      <c r="AM11" s="337">
        <f t="shared" ref="AM11" si="17">AL11</f>
        <v>141850.43174588273</v>
      </c>
      <c r="AN11" s="337">
        <f t="shared" ref="AN11" si="18">AM11</f>
        <v>141850.43174588273</v>
      </c>
      <c r="AO11" s="337">
        <f t="shared" ref="AO11" si="19">AN11</f>
        <v>141850.43174588273</v>
      </c>
      <c r="AP11" s="337">
        <f t="shared" ref="AP11" si="20">AO11</f>
        <v>141850.43174588273</v>
      </c>
      <c r="AQ11" s="337">
        <f t="shared" ref="AQ11" si="21">AP11</f>
        <v>141850.43174588273</v>
      </c>
      <c r="AR11" s="337">
        <f t="shared" ref="AR11" si="22">AQ11</f>
        <v>141850.43174588273</v>
      </c>
      <c r="AS11" s="337">
        <f t="shared" ref="AS11" si="23">AR11</f>
        <v>141850.43174588273</v>
      </c>
    </row>
    <row r="12" spans="2:45">
      <c r="B12" s="332" t="s">
        <v>478</v>
      </c>
      <c r="C12" s="989">
        <f>SUM(C9:C11)</f>
        <v>5954192.8754243795</v>
      </c>
      <c r="D12" s="990"/>
      <c r="E12" s="340">
        <f>SUM(E9:E11)</f>
        <v>238167715.01697522</v>
      </c>
      <c r="F12" s="340">
        <f t="shared" ref="F12:AI12" si="24">SUM(F9:F11)</f>
        <v>5954192.8754243795</v>
      </c>
      <c r="G12" s="340">
        <f t="shared" si="24"/>
        <v>5954192.8754243795</v>
      </c>
      <c r="H12" s="340">
        <f t="shared" si="24"/>
        <v>5954192.8754243795</v>
      </c>
      <c r="I12" s="340">
        <f t="shared" si="24"/>
        <v>5954192.8754243795</v>
      </c>
      <c r="J12" s="340">
        <f t="shared" si="24"/>
        <v>5954192.8754243795</v>
      </c>
      <c r="K12" s="340">
        <f t="shared" si="24"/>
        <v>5954192.8754243795</v>
      </c>
      <c r="L12" s="340">
        <f t="shared" si="24"/>
        <v>5954192.8754243795</v>
      </c>
      <c r="M12" s="340">
        <f t="shared" si="24"/>
        <v>5954192.8754243795</v>
      </c>
      <c r="N12" s="340">
        <f t="shared" si="24"/>
        <v>5954192.8754243795</v>
      </c>
      <c r="O12" s="340">
        <f t="shared" si="24"/>
        <v>5954192.8754243795</v>
      </c>
      <c r="P12" s="340">
        <f t="shared" si="24"/>
        <v>5954192.8754243795</v>
      </c>
      <c r="Q12" s="340">
        <f t="shared" si="24"/>
        <v>5954192.8754243795</v>
      </c>
      <c r="R12" s="340">
        <f t="shared" si="24"/>
        <v>5954192.8754243795</v>
      </c>
      <c r="S12" s="340">
        <f t="shared" si="24"/>
        <v>5954192.8754243795</v>
      </c>
      <c r="T12" s="340">
        <f t="shared" si="24"/>
        <v>5954192.8754243795</v>
      </c>
      <c r="U12" s="340">
        <f t="shared" si="24"/>
        <v>5954192.8754243795</v>
      </c>
      <c r="V12" s="340">
        <f t="shared" si="24"/>
        <v>5954192.8754243795</v>
      </c>
      <c r="W12" s="340">
        <f t="shared" si="24"/>
        <v>5954192.8754243795</v>
      </c>
      <c r="X12" s="340">
        <f t="shared" si="24"/>
        <v>5954192.8754243795</v>
      </c>
      <c r="Y12" s="340">
        <f t="shared" si="24"/>
        <v>5954192.8754243795</v>
      </c>
      <c r="Z12" s="340">
        <f t="shared" si="24"/>
        <v>5954192.8754243795</v>
      </c>
      <c r="AA12" s="340">
        <f t="shared" si="24"/>
        <v>5954192.8754243795</v>
      </c>
      <c r="AB12" s="340">
        <f t="shared" si="24"/>
        <v>5954192.8754243795</v>
      </c>
      <c r="AC12" s="340">
        <f t="shared" si="24"/>
        <v>5954192.8754243795</v>
      </c>
      <c r="AD12" s="340">
        <f t="shared" si="24"/>
        <v>5954192.8754243795</v>
      </c>
      <c r="AE12" s="340">
        <f t="shared" si="24"/>
        <v>5954192.8754243795</v>
      </c>
      <c r="AF12" s="340">
        <f t="shared" si="24"/>
        <v>5954192.8754243795</v>
      </c>
      <c r="AG12" s="340">
        <f t="shared" si="24"/>
        <v>5954192.8754243795</v>
      </c>
      <c r="AH12" s="340">
        <f t="shared" si="24"/>
        <v>5954192.8754243795</v>
      </c>
      <c r="AI12" s="340">
        <f t="shared" si="24"/>
        <v>5954192.8754243795</v>
      </c>
      <c r="AJ12" s="340">
        <f t="shared" ref="AJ12:AS12" si="25">SUM(AJ9:AJ11)</f>
        <v>5954192.8754243795</v>
      </c>
      <c r="AK12" s="340">
        <f t="shared" si="25"/>
        <v>5954192.8754243795</v>
      </c>
      <c r="AL12" s="340">
        <f t="shared" si="25"/>
        <v>5954192.8754243795</v>
      </c>
      <c r="AM12" s="340">
        <f t="shared" si="25"/>
        <v>5954192.8754243795</v>
      </c>
      <c r="AN12" s="340">
        <f t="shared" si="25"/>
        <v>5954192.8754243795</v>
      </c>
      <c r="AO12" s="340">
        <f t="shared" si="25"/>
        <v>5954192.8754243795</v>
      </c>
      <c r="AP12" s="340">
        <f t="shared" si="25"/>
        <v>5954192.8754243795</v>
      </c>
      <c r="AQ12" s="340">
        <f t="shared" si="25"/>
        <v>5954192.8754243795</v>
      </c>
      <c r="AR12" s="340">
        <f t="shared" si="25"/>
        <v>5954192.8754243795</v>
      </c>
      <c r="AS12" s="340">
        <f t="shared" si="25"/>
        <v>5954192.8754243795</v>
      </c>
    </row>
    <row r="13" spans="2:45">
      <c r="B13" s="335" t="s">
        <v>587</v>
      </c>
      <c r="C13" s="987">
        <f>F101</f>
        <v>4324433.0812059082</v>
      </c>
      <c r="D13" s="988"/>
      <c r="E13" s="337">
        <f>SUM(F13:AS13)</f>
        <v>172977323.24823621</v>
      </c>
      <c r="F13" s="337">
        <f>C13</f>
        <v>4324433.0812059082</v>
      </c>
      <c r="G13" s="337">
        <f t="shared" ref="G13:AI13" si="26">F13</f>
        <v>4324433.0812059082</v>
      </c>
      <c r="H13" s="337">
        <f t="shared" si="26"/>
        <v>4324433.0812059082</v>
      </c>
      <c r="I13" s="337">
        <f t="shared" si="26"/>
        <v>4324433.0812059082</v>
      </c>
      <c r="J13" s="337">
        <f t="shared" si="26"/>
        <v>4324433.0812059082</v>
      </c>
      <c r="K13" s="337">
        <f t="shared" si="26"/>
        <v>4324433.0812059082</v>
      </c>
      <c r="L13" s="337">
        <f t="shared" si="26"/>
        <v>4324433.0812059082</v>
      </c>
      <c r="M13" s="337">
        <f t="shared" si="26"/>
        <v>4324433.0812059082</v>
      </c>
      <c r="N13" s="337">
        <f t="shared" si="26"/>
        <v>4324433.0812059082</v>
      </c>
      <c r="O13" s="337">
        <f t="shared" si="26"/>
        <v>4324433.0812059082</v>
      </c>
      <c r="P13" s="337">
        <f t="shared" si="26"/>
        <v>4324433.0812059082</v>
      </c>
      <c r="Q13" s="337">
        <f t="shared" si="26"/>
        <v>4324433.0812059082</v>
      </c>
      <c r="R13" s="337">
        <f t="shared" si="26"/>
        <v>4324433.0812059082</v>
      </c>
      <c r="S13" s="337">
        <f t="shared" si="26"/>
        <v>4324433.0812059082</v>
      </c>
      <c r="T13" s="337">
        <f t="shared" si="26"/>
        <v>4324433.0812059082</v>
      </c>
      <c r="U13" s="337">
        <f t="shared" si="26"/>
        <v>4324433.0812059082</v>
      </c>
      <c r="V13" s="337">
        <f t="shared" si="26"/>
        <v>4324433.0812059082</v>
      </c>
      <c r="W13" s="337">
        <f t="shared" si="26"/>
        <v>4324433.0812059082</v>
      </c>
      <c r="X13" s="337">
        <f t="shared" si="26"/>
        <v>4324433.0812059082</v>
      </c>
      <c r="Y13" s="337">
        <f t="shared" si="26"/>
        <v>4324433.0812059082</v>
      </c>
      <c r="Z13" s="337">
        <f t="shared" si="26"/>
        <v>4324433.0812059082</v>
      </c>
      <c r="AA13" s="337">
        <f t="shared" si="26"/>
        <v>4324433.0812059082</v>
      </c>
      <c r="AB13" s="337">
        <f t="shared" si="26"/>
        <v>4324433.0812059082</v>
      </c>
      <c r="AC13" s="337">
        <f t="shared" si="26"/>
        <v>4324433.0812059082</v>
      </c>
      <c r="AD13" s="337">
        <f t="shared" si="26"/>
        <v>4324433.0812059082</v>
      </c>
      <c r="AE13" s="337">
        <f t="shared" si="26"/>
        <v>4324433.0812059082</v>
      </c>
      <c r="AF13" s="337">
        <f t="shared" si="26"/>
        <v>4324433.0812059082</v>
      </c>
      <c r="AG13" s="337">
        <f t="shared" si="26"/>
        <v>4324433.0812059082</v>
      </c>
      <c r="AH13" s="337">
        <f t="shared" si="26"/>
        <v>4324433.0812059082</v>
      </c>
      <c r="AI13" s="337">
        <f t="shared" si="26"/>
        <v>4324433.0812059082</v>
      </c>
      <c r="AJ13" s="337">
        <f t="shared" ref="AJ13" si="27">AI13</f>
        <v>4324433.0812059082</v>
      </c>
      <c r="AK13" s="337">
        <f t="shared" ref="AK13" si="28">AJ13</f>
        <v>4324433.0812059082</v>
      </c>
      <c r="AL13" s="337">
        <f t="shared" ref="AL13" si="29">AK13</f>
        <v>4324433.0812059082</v>
      </c>
      <c r="AM13" s="337">
        <f t="shared" ref="AM13" si="30">AL13</f>
        <v>4324433.0812059082</v>
      </c>
      <c r="AN13" s="337">
        <f t="shared" ref="AN13" si="31">AM13</f>
        <v>4324433.0812059082</v>
      </c>
      <c r="AO13" s="337">
        <f t="shared" ref="AO13" si="32">AN13</f>
        <v>4324433.0812059082</v>
      </c>
      <c r="AP13" s="337">
        <f t="shared" ref="AP13" si="33">AO13</f>
        <v>4324433.0812059082</v>
      </c>
      <c r="AQ13" s="337">
        <f t="shared" ref="AQ13" si="34">AP13</f>
        <v>4324433.0812059082</v>
      </c>
      <c r="AR13" s="337">
        <f t="shared" ref="AR13" si="35">AQ13</f>
        <v>4324433.0812059082</v>
      </c>
      <c r="AS13" s="337">
        <f t="shared" ref="AS13" si="36">AR13</f>
        <v>4324433.0812059082</v>
      </c>
    </row>
    <row r="14" spans="2:45" ht="15.75" thickBot="1">
      <c r="B14" s="341" t="s">
        <v>69</v>
      </c>
      <c r="C14" s="960">
        <f>SUM(C13)</f>
        <v>4324433.0812059082</v>
      </c>
      <c r="D14" s="961"/>
      <c r="E14" s="343">
        <f t="shared" ref="E14:AI14" si="37">SUM(E13)</f>
        <v>172977323.24823621</v>
      </c>
      <c r="F14" s="343">
        <f t="shared" si="37"/>
        <v>4324433.0812059082</v>
      </c>
      <c r="G14" s="343">
        <f t="shared" si="37"/>
        <v>4324433.0812059082</v>
      </c>
      <c r="H14" s="343">
        <f t="shared" si="37"/>
        <v>4324433.0812059082</v>
      </c>
      <c r="I14" s="343">
        <f t="shared" si="37"/>
        <v>4324433.0812059082</v>
      </c>
      <c r="J14" s="343">
        <f t="shared" si="37"/>
        <v>4324433.0812059082</v>
      </c>
      <c r="K14" s="343">
        <f t="shared" si="37"/>
        <v>4324433.0812059082</v>
      </c>
      <c r="L14" s="343">
        <f t="shared" si="37"/>
        <v>4324433.0812059082</v>
      </c>
      <c r="M14" s="343">
        <f t="shared" si="37"/>
        <v>4324433.0812059082</v>
      </c>
      <c r="N14" s="343">
        <f t="shared" si="37"/>
        <v>4324433.0812059082</v>
      </c>
      <c r="O14" s="343">
        <f t="shared" si="37"/>
        <v>4324433.0812059082</v>
      </c>
      <c r="P14" s="343">
        <f t="shared" si="37"/>
        <v>4324433.0812059082</v>
      </c>
      <c r="Q14" s="343">
        <f t="shared" si="37"/>
        <v>4324433.0812059082</v>
      </c>
      <c r="R14" s="343">
        <f t="shared" si="37"/>
        <v>4324433.0812059082</v>
      </c>
      <c r="S14" s="343">
        <f t="shared" si="37"/>
        <v>4324433.0812059082</v>
      </c>
      <c r="T14" s="343">
        <f t="shared" si="37"/>
        <v>4324433.0812059082</v>
      </c>
      <c r="U14" s="343">
        <f t="shared" si="37"/>
        <v>4324433.0812059082</v>
      </c>
      <c r="V14" s="343">
        <f t="shared" si="37"/>
        <v>4324433.0812059082</v>
      </c>
      <c r="W14" s="343">
        <f t="shared" si="37"/>
        <v>4324433.0812059082</v>
      </c>
      <c r="X14" s="343">
        <f t="shared" si="37"/>
        <v>4324433.0812059082</v>
      </c>
      <c r="Y14" s="343">
        <f t="shared" si="37"/>
        <v>4324433.0812059082</v>
      </c>
      <c r="Z14" s="343">
        <f t="shared" si="37"/>
        <v>4324433.0812059082</v>
      </c>
      <c r="AA14" s="343">
        <f t="shared" si="37"/>
        <v>4324433.0812059082</v>
      </c>
      <c r="AB14" s="343">
        <f t="shared" si="37"/>
        <v>4324433.0812059082</v>
      </c>
      <c r="AC14" s="343">
        <f t="shared" si="37"/>
        <v>4324433.0812059082</v>
      </c>
      <c r="AD14" s="343">
        <f t="shared" si="37"/>
        <v>4324433.0812059082</v>
      </c>
      <c r="AE14" s="343">
        <f t="shared" si="37"/>
        <v>4324433.0812059082</v>
      </c>
      <c r="AF14" s="343">
        <f t="shared" si="37"/>
        <v>4324433.0812059082</v>
      </c>
      <c r="AG14" s="343">
        <f t="shared" si="37"/>
        <v>4324433.0812059082</v>
      </c>
      <c r="AH14" s="343">
        <f t="shared" si="37"/>
        <v>4324433.0812059082</v>
      </c>
      <c r="AI14" s="343">
        <f t="shared" si="37"/>
        <v>4324433.0812059082</v>
      </c>
      <c r="AJ14" s="343">
        <f t="shared" ref="AJ14:AS14" si="38">SUM(AJ13)</f>
        <v>4324433.0812059082</v>
      </c>
      <c r="AK14" s="343">
        <f t="shared" si="38"/>
        <v>4324433.0812059082</v>
      </c>
      <c r="AL14" s="343">
        <f t="shared" si="38"/>
        <v>4324433.0812059082</v>
      </c>
      <c r="AM14" s="343">
        <f t="shared" si="38"/>
        <v>4324433.0812059082</v>
      </c>
      <c r="AN14" s="343">
        <f t="shared" si="38"/>
        <v>4324433.0812059082</v>
      </c>
      <c r="AO14" s="343">
        <f t="shared" si="38"/>
        <v>4324433.0812059082</v>
      </c>
      <c r="AP14" s="343">
        <f t="shared" si="38"/>
        <v>4324433.0812059082</v>
      </c>
      <c r="AQ14" s="343">
        <f t="shared" si="38"/>
        <v>4324433.0812059082</v>
      </c>
      <c r="AR14" s="343">
        <f t="shared" si="38"/>
        <v>4324433.0812059082</v>
      </c>
      <c r="AS14" s="343">
        <f t="shared" si="38"/>
        <v>4324433.0812059082</v>
      </c>
    </row>
    <row r="15" spans="2:45" ht="15.75" thickTop="1">
      <c r="B15" s="344" t="s">
        <v>68</v>
      </c>
      <c r="C15" s="962">
        <f>C14+C12</f>
        <v>10278625.956630288</v>
      </c>
      <c r="D15" s="963"/>
      <c r="E15" s="346">
        <f>E14+E12</f>
        <v>411145038.26521146</v>
      </c>
      <c r="F15" s="346">
        <f t="shared" ref="F15:AI15" si="39">F14+F12</f>
        <v>10278625.956630288</v>
      </c>
      <c r="G15" s="346">
        <f t="shared" si="39"/>
        <v>10278625.956630288</v>
      </c>
      <c r="H15" s="346">
        <f t="shared" si="39"/>
        <v>10278625.956630288</v>
      </c>
      <c r="I15" s="346">
        <f t="shared" si="39"/>
        <v>10278625.956630288</v>
      </c>
      <c r="J15" s="346">
        <f t="shared" si="39"/>
        <v>10278625.956630288</v>
      </c>
      <c r="K15" s="346">
        <f t="shared" si="39"/>
        <v>10278625.956630288</v>
      </c>
      <c r="L15" s="346">
        <f t="shared" si="39"/>
        <v>10278625.956630288</v>
      </c>
      <c r="M15" s="346">
        <f t="shared" si="39"/>
        <v>10278625.956630288</v>
      </c>
      <c r="N15" s="346">
        <f t="shared" si="39"/>
        <v>10278625.956630288</v>
      </c>
      <c r="O15" s="346">
        <f t="shared" si="39"/>
        <v>10278625.956630288</v>
      </c>
      <c r="P15" s="346">
        <f t="shared" si="39"/>
        <v>10278625.956630288</v>
      </c>
      <c r="Q15" s="346">
        <f t="shared" si="39"/>
        <v>10278625.956630288</v>
      </c>
      <c r="R15" s="346">
        <f t="shared" si="39"/>
        <v>10278625.956630288</v>
      </c>
      <c r="S15" s="346">
        <f t="shared" si="39"/>
        <v>10278625.956630288</v>
      </c>
      <c r="T15" s="346">
        <f t="shared" si="39"/>
        <v>10278625.956630288</v>
      </c>
      <c r="U15" s="346">
        <f t="shared" si="39"/>
        <v>10278625.956630288</v>
      </c>
      <c r="V15" s="346">
        <f t="shared" si="39"/>
        <v>10278625.956630288</v>
      </c>
      <c r="W15" s="346">
        <f t="shared" si="39"/>
        <v>10278625.956630288</v>
      </c>
      <c r="X15" s="346">
        <f t="shared" si="39"/>
        <v>10278625.956630288</v>
      </c>
      <c r="Y15" s="346">
        <f t="shared" si="39"/>
        <v>10278625.956630288</v>
      </c>
      <c r="Z15" s="346">
        <f t="shared" si="39"/>
        <v>10278625.956630288</v>
      </c>
      <c r="AA15" s="346">
        <f t="shared" si="39"/>
        <v>10278625.956630288</v>
      </c>
      <c r="AB15" s="346">
        <f t="shared" si="39"/>
        <v>10278625.956630288</v>
      </c>
      <c r="AC15" s="346">
        <f t="shared" si="39"/>
        <v>10278625.956630288</v>
      </c>
      <c r="AD15" s="346">
        <f t="shared" si="39"/>
        <v>10278625.956630288</v>
      </c>
      <c r="AE15" s="346">
        <f t="shared" si="39"/>
        <v>10278625.956630288</v>
      </c>
      <c r="AF15" s="346">
        <f t="shared" si="39"/>
        <v>10278625.956630288</v>
      </c>
      <c r="AG15" s="346">
        <f t="shared" si="39"/>
        <v>10278625.956630288</v>
      </c>
      <c r="AH15" s="346">
        <f t="shared" si="39"/>
        <v>10278625.956630288</v>
      </c>
      <c r="AI15" s="346">
        <f t="shared" si="39"/>
        <v>10278625.956630288</v>
      </c>
      <c r="AJ15" s="346">
        <f t="shared" ref="AJ15:AS15" si="40">AJ14+AJ12</f>
        <v>10278625.956630288</v>
      </c>
      <c r="AK15" s="346">
        <f t="shared" si="40"/>
        <v>10278625.956630288</v>
      </c>
      <c r="AL15" s="346">
        <f t="shared" si="40"/>
        <v>10278625.956630288</v>
      </c>
      <c r="AM15" s="346">
        <f t="shared" si="40"/>
        <v>10278625.956630288</v>
      </c>
      <c r="AN15" s="346">
        <f t="shared" si="40"/>
        <v>10278625.956630288</v>
      </c>
      <c r="AO15" s="346">
        <f t="shared" si="40"/>
        <v>10278625.956630288</v>
      </c>
      <c r="AP15" s="346">
        <f t="shared" si="40"/>
        <v>10278625.956630288</v>
      </c>
      <c r="AQ15" s="346">
        <f t="shared" si="40"/>
        <v>10278625.956630288</v>
      </c>
      <c r="AR15" s="346">
        <f t="shared" si="40"/>
        <v>10278625.956630288</v>
      </c>
      <c r="AS15" s="346">
        <f t="shared" si="40"/>
        <v>10278625.956630288</v>
      </c>
    </row>
    <row r="16" spans="2:45">
      <c r="B16" s="331"/>
      <c r="C16" s="331"/>
      <c r="D16" s="331"/>
      <c r="E16" s="331"/>
    </row>
    <row r="17" spans="2:45">
      <c r="B17" s="331"/>
      <c r="C17" s="331"/>
      <c r="D17" s="331"/>
      <c r="E17" s="331"/>
      <c r="G17" s="347"/>
    </row>
    <row r="18" spans="2:45">
      <c r="B18" s="331"/>
      <c r="C18" s="964">
        <v>2027</v>
      </c>
      <c r="D18" s="967" t="s">
        <v>839</v>
      </c>
      <c r="E18" s="331"/>
      <c r="G18" s="347"/>
    </row>
    <row r="19" spans="2:45">
      <c r="B19" s="332" t="s">
        <v>71</v>
      </c>
      <c r="C19" s="965"/>
      <c r="D19" s="965"/>
      <c r="E19" s="332"/>
      <c r="F19" s="333">
        <f t="shared" ref="F19:AI20" si="41">F7</f>
        <v>1</v>
      </c>
      <c r="G19" s="333">
        <f t="shared" si="41"/>
        <v>2</v>
      </c>
      <c r="H19" s="333">
        <f t="shared" si="41"/>
        <v>3</v>
      </c>
      <c r="I19" s="333">
        <f t="shared" si="41"/>
        <v>4</v>
      </c>
      <c r="J19" s="333">
        <f t="shared" si="41"/>
        <v>5</v>
      </c>
      <c r="K19" s="333">
        <f t="shared" si="41"/>
        <v>6</v>
      </c>
      <c r="L19" s="333">
        <f t="shared" si="41"/>
        <v>7</v>
      </c>
      <c r="M19" s="333">
        <f t="shared" si="41"/>
        <v>8</v>
      </c>
      <c r="N19" s="333">
        <f t="shared" si="41"/>
        <v>9</v>
      </c>
      <c r="O19" s="333">
        <f t="shared" si="41"/>
        <v>10</v>
      </c>
      <c r="P19" s="333">
        <f t="shared" si="41"/>
        <v>11</v>
      </c>
      <c r="Q19" s="333">
        <f t="shared" si="41"/>
        <v>12</v>
      </c>
      <c r="R19" s="333">
        <f t="shared" si="41"/>
        <v>13</v>
      </c>
      <c r="S19" s="333">
        <f t="shared" si="41"/>
        <v>14</v>
      </c>
      <c r="T19" s="333">
        <f t="shared" si="41"/>
        <v>15</v>
      </c>
      <c r="U19" s="333">
        <f t="shared" si="41"/>
        <v>16</v>
      </c>
      <c r="V19" s="333">
        <f t="shared" si="41"/>
        <v>17</v>
      </c>
      <c r="W19" s="333">
        <f t="shared" si="41"/>
        <v>18</v>
      </c>
      <c r="X19" s="333">
        <f t="shared" si="41"/>
        <v>19</v>
      </c>
      <c r="Y19" s="333">
        <f t="shared" si="41"/>
        <v>20</v>
      </c>
      <c r="Z19" s="333">
        <f t="shared" si="41"/>
        <v>21</v>
      </c>
      <c r="AA19" s="333">
        <f t="shared" si="41"/>
        <v>22</v>
      </c>
      <c r="AB19" s="333">
        <f t="shared" si="41"/>
        <v>23</v>
      </c>
      <c r="AC19" s="333">
        <f t="shared" si="41"/>
        <v>24</v>
      </c>
      <c r="AD19" s="333">
        <f t="shared" si="41"/>
        <v>25</v>
      </c>
      <c r="AE19" s="333">
        <f t="shared" si="41"/>
        <v>26</v>
      </c>
      <c r="AF19" s="333">
        <f t="shared" si="41"/>
        <v>27</v>
      </c>
      <c r="AG19" s="333">
        <f t="shared" si="41"/>
        <v>28</v>
      </c>
      <c r="AH19" s="333">
        <f t="shared" si="41"/>
        <v>29</v>
      </c>
      <c r="AI19" s="333">
        <f t="shared" si="41"/>
        <v>30</v>
      </c>
      <c r="AJ19" s="333">
        <f t="shared" ref="AJ19:AS19" si="42">AJ7</f>
        <v>31</v>
      </c>
      <c r="AK19" s="333">
        <f t="shared" si="42"/>
        <v>32</v>
      </c>
      <c r="AL19" s="333">
        <f t="shared" si="42"/>
        <v>33</v>
      </c>
      <c r="AM19" s="333">
        <f t="shared" si="42"/>
        <v>34</v>
      </c>
      <c r="AN19" s="333">
        <f t="shared" si="42"/>
        <v>35</v>
      </c>
      <c r="AO19" s="333">
        <f t="shared" si="42"/>
        <v>36</v>
      </c>
      <c r="AP19" s="333">
        <f t="shared" si="42"/>
        <v>37</v>
      </c>
      <c r="AQ19" s="333">
        <f t="shared" si="42"/>
        <v>38</v>
      </c>
      <c r="AR19" s="333">
        <f t="shared" si="42"/>
        <v>39</v>
      </c>
      <c r="AS19" s="333">
        <f t="shared" si="42"/>
        <v>40</v>
      </c>
    </row>
    <row r="20" spans="2:45">
      <c r="B20" s="334" t="s">
        <v>600</v>
      </c>
      <c r="C20" s="966"/>
      <c r="D20" s="966"/>
      <c r="E20" s="334" t="s">
        <v>8</v>
      </c>
      <c r="F20" s="332">
        <f t="shared" ref="F20:AH21" si="43">F8</f>
        <v>2024</v>
      </c>
      <c r="G20" s="332">
        <f t="shared" si="43"/>
        <v>2025</v>
      </c>
      <c r="H20" s="332">
        <f t="shared" si="43"/>
        <v>2026</v>
      </c>
      <c r="I20" s="584">
        <f t="shared" si="43"/>
        <v>2027</v>
      </c>
      <c r="J20" s="348">
        <f t="shared" si="43"/>
        <v>2028</v>
      </c>
      <c r="K20" s="332">
        <f t="shared" si="43"/>
        <v>2029</v>
      </c>
      <c r="L20" s="332">
        <f t="shared" si="43"/>
        <v>2030</v>
      </c>
      <c r="M20" s="332">
        <f t="shared" si="43"/>
        <v>2031</v>
      </c>
      <c r="N20" s="332">
        <f t="shared" si="43"/>
        <v>2032</v>
      </c>
      <c r="O20" s="332">
        <f t="shared" si="43"/>
        <v>2033</v>
      </c>
      <c r="P20" s="332">
        <f t="shared" si="43"/>
        <v>2034</v>
      </c>
      <c r="Q20" s="332">
        <f t="shared" si="43"/>
        <v>2035</v>
      </c>
      <c r="R20" s="332">
        <f t="shared" si="43"/>
        <v>2036</v>
      </c>
      <c r="S20" s="332">
        <f t="shared" si="43"/>
        <v>2037</v>
      </c>
      <c r="T20" s="332">
        <f t="shared" si="43"/>
        <v>2038</v>
      </c>
      <c r="U20" s="332">
        <f t="shared" si="43"/>
        <v>2039</v>
      </c>
      <c r="V20" s="332">
        <f t="shared" si="43"/>
        <v>2040</v>
      </c>
      <c r="W20" s="332">
        <f t="shared" si="43"/>
        <v>2041</v>
      </c>
      <c r="X20" s="332">
        <f t="shared" si="43"/>
        <v>2042</v>
      </c>
      <c r="Y20" s="332">
        <f t="shared" si="43"/>
        <v>2043</v>
      </c>
      <c r="Z20" s="332">
        <f t="shared" si="43"/>
        <v>2044</v>
      </c>
      <c r="AA20" s="332">
        <f t="shared" si="43"/>
        <v>2045</v>
      </c>
      <c r="AB20" s="332">
        <f t="shared" si="43"/>
        <v>2046</v>
      </c>
      <c r="AC20" s="332">
        <f t="shared" si="43"/>
        <v>2047</v>
      </c>
      <c r="AD20" s="332">
        <f t="shared" si="43"/>
        <v>2048</v>
      </c>
      <c r="AE20" s="332">
        <f t="shared" si="43"/>
        <v>2049</v>
      </c>
      <c r="AF20" s="332">
        <f t="shared" si="43"/>
        <v>2050</v>
      </c>
      <c r="AG20" s="332">
        <f t="shared" si="43"/>
        <v>2051</v>
      </c>
      <c r="AH20" s="332">
        <f t="shared" si="43"/>
        <v>2052</v>
      </c>
      <c r="AI20" s="332">
        <f t="shared" si="41"/>
        <v>2053</v>
      </c>
      <c r="AJ20" s="332">
        <f t="shared" ref="AJ20:AS20" si="44">AJ8</f>
        <v>2054</v>
      </c>
      <c r="AK20" s="332">
        <f t="shared" si="44"/>
        <v>2055</v>
      </c>
      <c r="AL20" s="332">
        <f t="shared" si="44"/>
        <v>2056</v>
      </c>
      <c r="AM20" s="332">
        <f t="shared" si="44"/>
        <v>2057</v>
      </c>
      <c r="AN20" s="332">
        <f t="shared" si="44"/>
        <v>2058</v>
      </c>
      <c r="AO20" s="332">
        <f t="shared" si="44"/>
        <v>2059</v>
      </c>
      <c r="AP20" s="332">
        <f t="shared" si="44"/>
        <v>2060</v>
      </c>
      <c r="AQ20" s="332">
        <f t="shared" si="44"/>
        <v>2061</v>
      </c>
      <c r="AR20" s="332">
        <f t="shared" si="44"/>
        <v>2062</v>
      </c>
      <c r="AS20" s="332">
        <f t="shared" si="44"/>
        <v>2063</v>
      </c>
    </row>
    <row r="21" spans="2:45">
      <c r="B21" s="335" t="s">
        <v>73</v>
      </c>
      <c r="C21" s="336">
        <f>D217+D585+D1055</f>
        <v>5701967.1366935866</v>
      </c>
      <c r="D21" s="336">
        <f>E217+E585+E1055</f>
        <v>5555309.048127383</v>
      </c>
      <c r="E21" s="337">
        <f>SUM(F21:AS21)</f>
        <v>223130120.20031488</v>
      </c>
      <c r="F21" s="337">
        <f>F9</f>
        <v>5812342.4436784964</v>
      </c>
      <c r="G21" s="337">
        <f t="shared" si="43"/>
        <v>5812342.4436784964</v>
      </c>
      <c r="H21" s="337">
        <f t="shared" si="43"/>
        <v>5812342.4436784964</v>
      </c>
      <c r="I21" s="337">
        <f>$C$21</f>
        <v>5701967.1366935866</v>
      </c>
      <c r="J21" s="337">
        <f>$D$21</f>
        <v>5555309.048127383</v>
      </c>
      <c r="K21" s="337">
        <f t="shared" ref="K21:AS21" si="45">$D$21</f>
        <v>5555309.048127383</v>
      </c>
      <c r="L21" s="337">
        <f t="shared" si="45"/>
        <v>5555309.048127383</v>
      </c>
      <c r="M21" s="337">
        <f t="shared" si="45"/>
        <v>5555309.048127383</v>
      </c>
      <c r="N21" s="337">
        <f t="shared" si="45"/>
        <v>5555309.048127383</v>
      </c>
      <c r="O21" s="337">
        <f t="shared" si="45"/>
        <v>5555309.048127383</v>
      </c>
      <c r="P21" s="337">
        <f t="shared" si="45"/>
        <v>5555309.048127383</v>
      </c>
      <c r="Q21" s="337">
        <f t="shared" si="45"/>
        <v>5555309.048127383</v>
      </c>
      <c r="R21" s="337">
        <f t="shared" si="45"/>
        <v>5555309.048127383</v>
      </c>
      <c r="S21" s="337">
        <f t="shared" si="45"/>
        <v>5555309.048127383</v>
      </c>
      <c r="T21" s="337">
        <f t="shared" si="45"/>
        <v>5555309.048127383</v>
      </c>
      <c r="U21" s="337">
        <f t="shared" si="45"/>
        <v>5555309.048127383</v>
      </c>
      <c r="V21" s="337">
        <f t="shared" si="45"/>
        <v>5555309.048127383</v>
      </c>
      <c r="W21" s="337">
        <f t="shared" si="45"/>
        <v>5555309.048127383</v>
      </c>
      <c r="X21" s="337">
        <f t="shared" si="45"/>
        <v>5555309.048127383</v>
      </c>
      <c r="Y21" s="337">
        <f t="shared" si="45"/>
        <v>5555309.048127383</v>
      </c>
      <c r="Z21" s="337">
        <f t="shared" si="45"/>
        <v>5555309.048127383</v>
      </c>
      <c r="AA21" s="337">
        <f t="shared" si="45"/>
        <v>5555309.048127383</v>
      </c>
      <c r="AB21" s="337">
        <f t="shared" si="45"/>
        <v>5555309.048127383</v>
      </c>
      <c r="AC21" s="337">
        <f t="shared" si="45"/>
        <v>5555309.048127383</v>
      </c>
      <c r="AD21" s="337">
        <f t="shared" si="45"/>
        <v>5555309.048127383</v>
      </c>
      <c r="AE21" s="337">
        <f t="shared" si="45"/>
        <v>5555309.048127383</v>
      </c>
      <c r="AF21" s="337">
        <f t="shared" si="45"/>
        <v>5555309.048127383</v>
      </c>
      <c r="AG21" s="337">
        <f t="shared" si="45"/>
        <v>5555309.048127383</v>
      </c>
      <c r="AH21" s="337">
        <f t="shared" si="45"/>
        <v>5555309.048127383</v>
      </c>
      <c r="AI21" s="337">
        <f t="shared" si="45"/>
        <v>5555309.048127383</v>
      </c>
      <c r="AJ21" s="337">
        <f t="shared" si="45"/>
        <v>5555309.048127383</v>
      </c>
      <c r="AK21" s="337">
        <f t="shared" si="45"/>
        <v>5555309.048127383</v>
      </c>
      <c r="AL21" s="337">
        <f t="shared" si="45"/>
        <v>5555309.048127383</v>
      </c>
      <c r="AM21" s="337">
        <f t="shared" si="45"/>
        <v>5555309.048127383</v>
      </c>
      <c r="AN21" s="337">
        <f t="shared" si="45"/>
        <v>5555309.048127383</v>
      </c>
      <c r="AO21" s="337">
        <f t="shared" si="45"/>
        <v>5555309.048127383</v>
      </c>
      <c r="AP21" s="337">
        <f t="shared" si="45"/>
        <v>5555309.048127383</v>
      </c>
      <c r="AQ21" s="337">
        <f t="shared" si="45"/>
        <v>5555309.048127383</v>
      </c>
      <c r="AR21" s="337">
        <f t="shared" si="45"/>
        <v>5555309.048127383</v>
      </c>
      <c r="AS21" s="337">
        <f t="shared" si="45"/>
        <v>5555309.048127383</v>
      </c>
    </row>
    <row r="22" spans="2:45">
      <c r="B22" s="335" t="s">
        <v>42</v>
      </c>
      <c r="C22" s="338"/>
      <c r="D22" s="338"/>
      <c r="E22" s="337">
        <f>SUM(F22:AS22)</f>
        <v>10143403.419699199</v>
      </c>
      <c r="F22" s="337">
        <v>0</v>
      </c>
      <c r="G22" s="337">
        <v>0</v>
      </c>
      <c r="H22" s="337">
        <v>0</v>
      </c>
      <c r="I22" s="337">
        <v>0</v>
      </c>
      <c r="J22" s="337">
        <v>0</v>
      </c>
      <c r="K22" s="337">
        <v>0</v>
      </c>
      <c r="L22" s="337">
        <v>0</v>
      </c>
      <c r="M22" s="337">
        <v>0</v>
      </c>
      <c r="N22" s="337">
        <v>0</v>
      </c>
      <c r="O22" s="337">
        <v>0</v>
      </c>
      <c r="P22" s="337">
        <v>0</v>
      </c>
      <c r="Q22" s="337">
        <v>0</v>
      </c>
      <c r="R22" s="337">
        <v>0</v>
      </c>
      <c r="S22" s="337">
        <v>0</v>
      </c>
      <c r="T22" s="337">
        <v>0</v>
      </c>
      <c r="U22" s="337">
        <v>0</v>
      </c>
      <c r="V22" s="337">
        <v>0</v>
      </c>
      <c r="W22" s="337">
        <v>0</v>
      </c>
      <c r="X22" s="337">
        <v>0</v>
      </c>
      <c r="Y22" s="337">
        <v>0</v>
      </c>
      <c r="Z22" s="337">
        <v>0</v>
      </c>
      <c r="AA22" s="337">
        <v>0</v>
      </c>
      <c r="AB22" s="337">
        <v>0</v>
      </c>
      <c r="AC22" s="337">
        <f>'02 Zostatková hodnota'!L17+'02 Zostatková hodnota'!L18</f>
        <v>6974037.8754613642</v>
      </c>
      <c r="AD22" s="337">
        <v>0</v>
      </c>
      <c r="AE22" s="337">
        <v>0</v>
      </c>
      <c r="AF22" s="337">
        <v>0</v>
      </c>
      <c r="AG22" s="337">
        <v>0</v>
      </c>
      <c r="AH22" s="337">
        <v>0</v>
      </c>
      <c r="AI22" s="337">
        <v>0</v>
      </c>
      <c r="AJ22" s="337">
        <v>0</v>
      </c>
      <c r="AK22" s="337">
        <v>0</v>
      </c>
      <c r="AL22" s="337">
        <v>0</v>
      </c>
      <c r="AM22" s="337">
        <f>'01 Investičné výdavky'!C18+'01 Investičné výdavky'!C23</f>
        <v>3169365.5442378358</v>
      </c>
      <c r="AN22" s="337">
        <v>0</v>
      </c>
      <c r="AO22" s="337">
        <v>0</v>
      </c>
      <c r="AP22" s="337">
        <v>0</v>
      </c>
      <c r="AQ22" s="337">
        <v>0</v>
      </c>
      <c r="AR22" s="337">
        <v>0</v>
      </c>
      <c r="AS22" s="337">
        <v>0</v>
      </c>
    </row>
    <row r="23" spans="2:45">
      <c r="B23" s="335" t="s">
        <v>586</v>
      </c>
      <c r="C23" s="336">
        <f>H48</f>
        <v>141850.43174588273</v>
      </c>
      <c r="D23" s="336">
        <f>K48</f>
        <v>141850.43174588273</v>
      </c>
      <c r="E23" s="337">
        <f>SUM(F23:AS23)</f>
        <v>5674017.2698353101</v>
      </c>
      <c r="F23" s="337">
        <f>F11</f>
        <v>141850.43174588273</v>
      </c>
      <c r="G23" s="337">
        <f t="shared" ref="G23:H23" si="46">G11</f>
        <v>141850.43174588273</v>
      </c>
      <c r="H23" s="337">
        <f t="shared" si="46"/>
        <v>141850.43174588273</v>
      </c>
      <c r="I23" s="337">
        <f>$C$23</f>
        <v>141850.43174588273</v>
      </c>
      <c r="J23" s="337">
        <f>$D$23</f>
        <v>141850.43174588273</v>
      </c>
      <c r="K23" s="337">
        <f t="shared" ref="K23:AS23" si="47">$D$23</f>
        <v>141850.43174588273</v>
      </c>
      <c r="L23" s="337">
        <f t="shared" si="47"/>
        <v>141850.43174588273</v>
      </c>
      <c r="M23" s="337">
        <f t="shared" si="47"/>
        <v>141850.43174588273</v>
      </c>
      <c r="N23" s="337">
        <f t="shared" si="47"/>
        <v>141850.43174588273</v>
      </c>
      <c r="O23" s="337">
        <f t="shared" si="47"/>
        <v>141850.43174588273</v>
      </c>
      <c r="P23" s="337">
        <f t="shared" si="47"/>
        <v>141850.43174588273</v>
      </c>
      <c r="Q23" s="337">
        <f t="shared" si="47"/>
        <v>141850.43174588273</v>
      </c>
      <c r="R23" s="337">
        <f t="shared" si="47"/>
        <v>141850.43174588273</v>
      </c>
      <c r="S23" s="337">
        <f t="shared" si="47"/>
        <v>141850.43174588273</v>
      </c>
      <c r="T23" s="337">
        <f t="shared" si="47"/>
        <v>141850.43174588273</v>
      </c>
      <c r="U23" s="337">
        <f t="shared" si="47"/>
        <v>141850.43174588273</v>
      </c>
      <c r="V23" s="337">
        <f t="shared" si="47"/>
        <v>141850.43174588273</v>
      </c>
      <c r="W23" s="337">
        <f t="shared" si="47"/>
        <v>141850.43174588273</v>
      </c>
      <c r="X23" s="337">
        <f t="shared" si="47"/>
        <v>141850.43174588273</v>
      </c>
      <c r="Y23" s="337">
        <f t="shared" si="47"/>
        <v>141850.43174588273</v>
      </c>
      <c r="Z23" s="337">
        <f t="shared" si="47"/>
        <v>141850.43174588273</v>
      </c>
      <c r="AA23" s="337">
        <f t="shared" si="47"/>
        <v>141850.43174588273</v>
      </c>
      <c r="AB23" s="337">
        <f t="shared" si="47"/>
        <v>141850.43174588273</v>
      </c>
      <c r="AC23" s="337">
        <f t="shared" si="47"/>
        <v>141850.43174588273</v>
      </c>
      <c r="AD23" s="337">
        <f t="shared" si="47"/>
        <v>141850.43174588273</v>
      </c>
      <c r="AE23" s="337">
        <f t="shared" si="47"/>
        <v>141850.43174588273</v>
      </c>
      <c r="AF23" s="337">
        <f t="shared" si="47"/>
        <v>141850.43174588273</v>
      </c>
      <c r="AG23" s="337">
        <f t="shared" si="47"/>
        <v>141850.43174588273</v>
      </c>
      <c r="AH23" s="337">
        <f t="shared" si="47"/>
        <v>141850.43174588273</v>
      </c>
      <c r="AI23" s="337">
        <f t="shared" si="47"/>
        <v>141850.43174588273</v>
      </c>
      <c r="AJ23" s="337">
        <f t="shared" si="47"/>
        <v>141850.43174588273</v>
      </c>
      <c r="AK23" s="337">
        <f t="shared" si="47"/>
        <v>141850.43174588273</v>
      </c>
      <c r="AL23" s="337">
        <f t="shared" si="47"/>
        <v>141850.43174588273</v>
      </c>
      <c r="AM23" s="337">
        <f t="shared" si="47"/>
        <v>141850.43174588273</v>
      </c>
      <c r="AN23" s="337">
        <f t="shared" si="47"/>
        <v>141850.43174588273</v>
      </c>
      <c r="AO23" s="337">
        <f t="shared" si="47"/>
        <v>141850.43174588273</v>
      </c>
      <c r="AP23" s="337">
        <f t="shared" si="47"/>
        <v>141850.43174588273</v>
      </c>
      <c r="AQ23" s="337">
        <f t="shared" si="47"/>
        <v>141850.43174588273</v>
      </c>
      <c r="AR23" s="337">
        <f t="shared" si="47"/>
        <v>141850.43174588273</v>
      </c>
      <c r="AS23" s="337">
        <f t="shared" si="47"/>
        <v>141850.43174588273</v>
      </c>
    </row>
    <row r="24" spans="2:45">
      <c r="B24" s="332" t="s">
        <v>478</v>
      </c>
      <c r="C24" s="339">
        <f>SUM(C21:C23)</f>
        <v>5843817.5684394697</v>
      </c>
      <c r="D24" s="339">
        <f>SUM(D21:D23)</f>
        <v>5697159.4798732661</v>
      </c>
      <c r="E24" s="340">
        <f>SUM(E21:E23)</f>
        <v>238947540.88984939</v>
      </c>
      <c r="F24" s="340">
        <f t="shared" ref="F24:AI24" si="48">SUM(F21:F23)</f>
        <v>5954192.8754243795</v>
      </c>
      <c r="G24" s="340">
        <f t="shared" si="48"/>
        <v>5954192.8754243795</v>
      </c>
      <c r="H24" s="340">
        <f t="shared" si="48"/>
        <v>5954192.8754243795</v>
      </c>
      <c r="I24" s="340">
        <f t="shared" si="48"/>
        <v>5843817.5684394697</v>
      </c>
      <c r="J24" s="340">
        <f t="shared" si="48"/>
        <v>5697159.4798732661</v>
      </c>
      <c r="K24" s="340">
        <f t="shared" si="48"/>
        <v>5697159.4798732661</v>
      </c>
      <c r="L24" s="340">
        <f t="shared" si="48"/>
        <v>5697159.4798732661</v>
      </c>
      <c r="M24" s="340">
        <f t="shared" si="48"/>
        <v>5697159.4798732661</v>
      </c>
      <c r="N24" s="340">
        <f t="shared" si="48"/>
        <v>5697159.4798732661</v>
      </c>
      <c r="O24" s="340">
        <f t="shared" si="48"/>
        <v>5697159.4798732661</v>
      </c>
      <c r="P24" s="340">
        <f t="shared" si="48"/>
        <v>5697159.4798732661</v>
      </c>
      <c r="Q24" s="340">
        <f t="shared" si="48"/>
        <v>5697159.4798732661</v>
      </c>
      <c r="R24" s="340">
        <f t="shared" si="48"/>
        <v>5697159.4798732661</v>
      </c>
      <c r="S24" s="340">
        <f t="shared" si="48"/>
        <v>5697159.4798732661</v>
      </c>
      <c r="T24" s="340">
        <f t="shared" si="48"/>
        <v>5697159.4798732661</v>
      </c>
      <c r="U24" s="340">
        <f t="shared" si="48"/>
        <v>5697159.4798732661</v>
      </c>
      <c r="V24" s="340">
        <f t="shared" si="48"/>
        <v>5697159.4798732661</v>
      </c>
      <c r="W24" s="340">
        <f t="shared" si="48"/>
        <v>5697159.4798732661</v>
      </c>
      <c r="X24" s="340">
        <f t="shared" si="48"/>
        <v>5697159.4798732661</v>
      </c>
      <c r="Y24" s="340">
        <f t="shared" si="48"/>
        <v>5697159.4798732661</v>
      </c>
      <c r="Z24" s="340">
        <f t="shared" si="48"/>
        <v>5697159.4798732661</v>
      </c>
      <c r="AA24" s="340">
        <f t="shared" si="48"/>
        <v>5697159.4798732661</v>
      </c>
      <c r="AB24" s="340">
        <f t="shared" si="48"/>
        <v>5697159.4798732661</v>
      </c>
      <c r="AC24" s="340">
        <f t="shared" si="48"/>
        <v>12671197.35533463</v>
      </c>
      <c r="AD24" s="340">
        <f t="shared" si="48"/>
        <v>5697159.4798732661</v>
      </c>
      <c r="AE24" s="340">
        <f t="shared" si="48"/>
        <v>5697159.4798732661</v>
      </c>
      <c r="AF24" s="340">
        <f t="shared" si="48"/>
        <v>5697159.4798732661</v>
      </c>
      <c r="AG24" s="340">
        <f t="shared" si="48"/>
        <v>5697159.4798732661</v>
      </c>
      <c r="AH24" s="340">
        <f t="shared" si="48"/>
        <v>5697159.4798732661</v>
      </c>
      <c r="AI24" s="340">
        <f t="shared" si="48"/>
        <v>5697159.4798732661</v>
      </c>
      <c r="AJ24" s="340">
        <f t="shared" ref="AJ24:AS24" si="49">SUM(AJ21:AJ23)</f>
        <v>5697159.4798732661</v>
      </c>
      <c r="AK24" s="340">
        <f t="shared" si="49"/>
        <v>5697159.4798732661</v>
      </c>
      <c r="AL24" s="340">
        <f t="shared" si="49"/>
        <v>5697159.4798732661</v>
      </c>
      <c r="AM24" s="340">
        <f t="shared" si="49"/>
        <v>8866525.0241111014</v>
      </c>
      <c r="AN24" s="340">
        <f t="shared" si="49"/>
        <v>5697159.4798732661</v>
      </c>
      <c r="AO24" s="340">
        <f t="shared" si="49"/>
        <v>5697159.4798732661</v>
      </c>
      <c r="AP24" s="340">
        <f t="shared" si="49"/>
        <v>5697159.4798732661</v>
      </c>
      <c r="AQ24" s="340">
        <f t="shared" si="49"/>
        <v>5697159.4798732661</v>
      </c>
      <c r="AR24" s="340">
        <f t="shared" si="49"/>
        <v>5697159.4798732661</v>
      </c>
      <c r="AS24" s="340">
        <f t="shared" si="49"/>
        <v>5697159.4798732661</v>
      </c>
    </row>
    <row r="25" spans="2:45">
      <c r="B25" s="335" t="s">
        <v>587</v>
      </c>
      <c r="C25" s="336">
        <f>I101</f>
        <v>3878030.7779405904</v>
      </c>
      <c r="D25" s="336">
        <f>L101</f>
        <v>2662700.023279421</v>
      </c>
      <c r="E25" s="337">
        <f>SUM(F25:AS25)</f>
        <v>112708530.85961759</v>
      </c>
      <c r="F25" s="337">
        <f>F13</f>
        <v>4324433.0812059082</v>
      </c>
      <c r="G25" s="337">
        <f t="shared" ref="G25:H25" si="50">G13</f>
        <v>4324433.0812059082</v>
      </c>
      <c r="H25" s="337">
        <f t="shared" si="50"/>
        <v>4324433.0812059082</v>
      </c>
      <c r="I25" s="337">
        <f>$C$25</f>
        <v>3878030.7779405904</v>
      </c>
      <c r="J25" s="337">
        <f>$D$25</f>
        <v>2662700.023279421</v>
      </c>
      <c r="K25" s="337">
        <f t="shared" ref="K25:AS25" si="51">$D$25</f>
        <v>2662700.023279421</v>
      </c>
      <c r="L25" s="337">
        <f t="shared" si="51"/>
        <v>2662700.023279421</v>
      </c>
      <c r="M25" s="337">
        <f t="shared" si="51"/>
        <v>2662700.023279421</v>
      </c>
      <c r="N25" s="337">
        <f t="shared" si="51"/>
        <v>2662700.023279421</v>
      </c>
      <c r="O25" s="337">
        <f t="shared" si="51"/>
        <v>2662700.023279421</v>
      </c>
      <c r="P25" s="337">
        <f t="shared" si="51"/>
        <v>2662700.023279421</v>
      </c>
      <c r="Q25" s="337">
        <f t="shared" si="51"/>
        <v>2662700.023279421</v>
      </c>
      <c r="R25" s="337">
        <f t="shared" si="51"/>
        <v>2662700.023279421</v>
      </c>
      <c r="S25" s="337">
        <f t="shared" si="51"/>
        <v>2662700.023279421</v>
      </c>
      <c r="T25" s="337">
        <f t="shared" si="51"/>
        <v>2662700.023279421</v>
      </c>
      <c r="U25" s="337">
        <f t="shared" si="51"/>
        <v>2662700.023279421</v>
      </c>
      <c r="V25" s="337">
        <f t="shared" si="51"/>
        <v>2662700.023279421</v>
      </c>
      <c r="W25" s="337">
        <f t="shared" si="51"/>
        <v>2662700.023279421</v>
      </c>
      <c r="X25" s="337">
        <f t="shared" si="51"/>
        <v>2662700.023279421</v>
      </c>
      <c r="Y25" s="337">
        <f t="shared" si="51"/>
        <v>2662700.023279421</v>
      </c>
      <c r="Z25" s="337">
        <f t="shared" si="51"/>
        <v>2662700.023279421</v>
      </c>
      <c r="AA25" s="337">
        <f t="shared" si="51"/>
        <v>2662700.023279421</v>
      </c>
      <c r="AB25" s="337">
        <f t="shared" si="51"/>
        <v>2662700.023279421</v>
      </c>
      <c r="AC25" s="337">
        <f t="shared" si="51"/>
        <v>2662700.023279421</v>
      </c>
      <c r="AD25" s="337">
        <f t="shared" si="51"/>
        <v>2662700.023279421</v>
      </c>
      <c r="AE25" s="337">
        <f t="shared" si="51"/>
        <v>2662700.023279421</v>
      </c>
      <c r="AF25" s="337">
        <f t="shared" si="51"/>
        <v>2662700.023279421</v>
      </c>
      <c r="AG25" s="337">
        <f t="shared" si="51"/>
        <v>2662700.023279421</v>
      </c>
      <c r="AH25" s="337">
        <f t="shared" si="51"/>
        <v>2662700.023279421</v>
      </c>
      <c r="AI25" s="337">
        <f t="shared" si="51"/>
        <v>2662700.023279421</v>
      </c>
      <c r="AJ25" s="337">
        <f t="shared" si="51"/>
        <v>2662700.023279421</v>
      </c>
      <c r="AK25" s="337">
        <f t="shared" si="51"/>
        <v>2662700.023279421</v>
      </c>
      <c r="AL25" s="337">
        <f t="shared" si="51"/>
        <v>2662700.023279421</v>
      </c>
      <c r="AM25" s="337">
        <f t="shared" si="51"/>
        <v>2662700.023279421</v>
      </c>
      <c r="AN25" s="337">
        <f t="shared" si="51"/>
        <v>2662700.023279421</v>
      </c>
      <c r="AO25" s="337">
        <f t="shared" si="51"/>
        <v>2662700.023279421</v>
      </c>
      <c r="AP25" s="337">
        <f t="shared" si="51"/>
        <v>2662700.023279421</v>
      </c>
      <c r="AQ25" s="337">
        <f t="shared" si="51"/>
        <v>2662700.023279421</v>
      </c>
      <c r="AR25" s="337">
        <f t="shared" si="51"/>
        <v>2662700.023279421</v>
      </c>
      <c r="AS25" s="337">
        <f t="shared" si="51"/>
        <v>2662700.023279421</v>
      </c>
    </row>
    <row r="26" spans="2:45" ht="15.75" thickBot="1">
      <c r="B26" s="341" t="s">
        <v>69</v>
      </c>
      <c r="C26" s="342">
        <f>SUM(C25)</f>
        <v>3878030.7779405904</v>
      </c>
      <c r="D26" s="342">
        <f>SUM(D25)</f>
        <v>2662700.023279421</v>
      </c>
      <c r="E26" s="343">
        <f t="shared" ref="E26" si="52">SUM(E25)</f>
        <v>112708530.85961759</v>
      </c>
      <c r="F26" s="343">
        <f t="shared" ref="F26:AI26" si="53">SUM(F25)</f>
        <v>4324433.0812059082</v>
      </c>
      <c r="G26" s="343">
        <f t="shared" si="53"/>
        <v>4324433.0812059082</v>
      </c>
      <c r="H26" s="343">
        <f t="shared" si="53"/>
        <v>4324433.0812059082</v>
      </c>
      <c r="I26" s="343">
        <f t="shared" si="53"/>
        <v>3878030.7779405904</v>
      </c>
      <c r="J26" s="343">
        <f t="shared" si="53"/>
        <v>2662700.023279421</v>
      </c>
      <c r="K26" s="343">
        <f t="shared" si="53"/>
        <v>2662700.023279421</v>
      </c>
      <c r="L26" s="343">
        <f t="shared" si="53"/>
        <v>2662700.023279421</v>
      </c>
      <c r="M26" s="343">
        <f t="shared" si="53"/>
        <v>2662700.023279421</v>
      </c>
      <c r="N26" s="343">
        <f t="shared" si="53"/>
        <v>2662700.023279421</v>
      </c>
      <c r="O26" s="343">
        <f t="shared" si="53"/>
        <v>2662700.023279421</v>
      </c>
      <c r="P26" s="343">
        <f t="shared" si="53"/>
        <v>2662700.023279421</v>
      </c>
      <c r="Q26" s="343">
        <f t="shared" si="53"/>
        <v>2662700.023279421</v>
      </c>
      <c r="R26" s="343">
        <f t="shared" si="53"/>
        <v>2662700.023279421</v>
      </c>
      <c r="S26" s="343">
        <f t="shared" si="53"/>
        <v>2662700.023279421</v>
      </c>
      <c r="T26" s="343">
        <f t="shared" si="53"/>
        <v>2662700.023279421</v>
      </c>
      <c r="U26" s="343">
        <f t="shared" si="53"/>
        <v>2662700.023279421</v>
      </c>
      <c r="V26" s="343">
        <f t="shared" si="53"/>
        <v>2662700.023279421</v>
      </c>
      <c r="W26" s="343">
        <f t="shared" si="53"/>
        <v>2662700.023279421</v>
      </c>
      <c r="X26" s="343">
        <f t="shared" si="53"/>
        <v>2662700.023279421</v>
      </c>
      <c r="Y26" s="343">
        <f t="shared" si="53"/>
        <v>2662700.023279421</v>
      </c>
      <c r="Z26" s="343">
        <f t="shared" si="53"/>
        <v>2662700.023279421</v>
      </c>
      <c r="AA26" s="343">
        <f t="shared" si="53"/>
        <v>2662700.023279421</v>
      </c>
      <c r="AB26" s="343">
        <f t="shared" si="53"/>
        <v>2662700.023279421</v>
      </c>
      <c r="AC26" s="343">
        <f t="shared" si="53"/>
        <v>2662700.023279421</v>
      </c>
      <c r="AD26" s="343">
        <f t="shared" si="53"/>
        <v>2662700.023279421</v>
      </c>
      <c r="AE26" s="343">
        <f t="shared" si="53"/>
        <v>2662700.023279421</v>
      </c>
      <c r="AF26" s="343">
        <f t="shared" si="53"/>
        <v>2662700.023279421</v>
      </c>
      <c r="AG26" s="343">
        <f t="shared" si="53"/>
        <v>2662700.023279421</v>
      </c>
      <c r="AH26" s="343">
        <f t="shared" si="53"/>
        <v>2662700.023279421</v>
      </c>
      <c r="AI26" s="343">
        <f t="shared" si="53"/>
        <v>2662700.023279421</v>
      </c>
      <c r="AJ26" s="343">
        <f t="shared" ref="AJ26:AS26" si="54">SUM(AJ25)</f>
        <v>2662700.023279421</v>
      </c>
      <c r="AK26" s="343">
        <f t="shared" si="54"/>
        <v>2662700.023279421</v>
      </c>
      <c r="AL26" s="343">
        <f t="shared" si="54"/>
        <v>2662700.023279421</v>
      </c>
      <c r="AM26" s="343">
        <f t="shared" si="54"/>
        <v>2662700.023279421</v>
      </c>
      <c r="AN26" s="343">
        <f t="shared" si="54"/>
        <v>2662700.023279421</v>
      </c>
      <c r="AO26" s="343">
        <f t="shared" si="54"/>
        <v>2662700.023279421</v>
      </c>
      <c r="AP26" s="343">
        <f t="shared" si="54"/>
        <v>2662700.023279421</v>
      </c>
      <c r="AQ26" s="343">
        <f t="shared" si="54"/>
        <v>2662700.023279421</v>
      </c>
      <c r="AR26" s="343">
        <f t="shared" si="54"/>
        <v>2662700.023279421</v>
      </c>
      <c r="AS26" s="343">
        <f t="shared" si="54"/>
        <v>2662700.023279421</v>
      </c>
    </row>
    <row r="27" spans="2:45" ht="15.75" thickTop="1">
      <c r="B27" s="344" t="s">
        <v>68</v>
      </c>
      <c r="C27" s="345">
        <f>C26+C24</f>
        <v>9721848.3463800605</v>
      </c>
      <c r="D27" s="345">
        <f>D26+D24</f>
        <v>8359859.5031526871</v>
      </c>
      <c r="E27" s="346">
        <f>E26+E24</f>
        <v>351656071.74946702</v>
      </c>
      <c r="F27" s="346">
        <f t="shared" ref="F27:AI27" si="55">F26+F24</f>
        <v>10278625.956630288</v>
      </c>
      <c r="G27" s="346">
        <f t="shared" si="55"/>
        <v>10278625.956630288</v>
      </c>
      <c r="H27" s="346">
        <f t="shared" si="55"/>
        <v>10278625.956630288</v>
      </c>
      <c r="I27" s="346">
        <f t="shared" si="55"/>
        <v>9721848.3463800605</v>
      </c>
      <c r="J27" s="346">
        <f t="shared" si="55"/>
        <v>8359859.5031526871</v>
      </c>
      <c r="K27" s="346">
        <f t="shared" si="55"/>
        <v>8359859.5031526871</v>
      </c>
      <c r="L27" s="346">
        <f t="shared" si="55"/>
        <v>8359859.5031526871</v>
      </c>
      <c r="M27" s="346">
        <f t="shared" si="55"/>
        <v>8359859.5031526871</v>
      </c>
      <c r="N27" s="346">
        <f t="shared" si="55"/>
        <v>8359859.5031526871</v>
      </c>
      <c r="O27" s="346">
        <f t="shared" si="55"/>
        <v>8359859.5031526871</v>
      </c>
      <c r="P27" s="346">
        <f t="shared" si="55"/>
        <v>8359859.5031526871</v>
      </c>
      <c r="Q27" s="346">
        <f t="shared" si="55"/>
        <v>8359859.5031526871</v>
      </c>
      <c r="R27" s="346">
        <f t="shared" si="55"/>
        <v>8359859.5031526871</v>
      </c>
      <c r="S27" s="346">
        <f t="shared" si="55"/>
        <v>8359859.5031526871</v>
      </c>
      <c r="T27" s="346">
        <f t="shared" si="55"/>
        <v>8359859.5031526871</v>
      </c>
      <c r="U27" s="346">
        <f t="shared" si="55"/>
        <v>8359859.5031526871</v>
      </c>
      <c r="V27" s="346">
        <f t="shared" si="55"/>
        <v>8359859.5031526871</v>
      </c>
      <c r="W27" s="346">
        <f t="shared" si="55"/>
        <v>8359859.5031526871</v>
      </c>
      <c r="X27" s="346">
        <f t="shared" si="55"/>
        <v>8359859.5031526871</v>
      </c>
      <c r="Y27" s="346">
        <f t="shared" si="55"/>
        <v>8359859.5031526871</v>
      </c>
      <c r="Z27" s="346">
        <f t="shared" si="55"/>
        <v>8359859.5031526871</v>
      </c>
      <c r="AA27" s="346">
        <f t="shared" si="55"/>
        <v>8359859.5031526871</v>
      </c>
      <c r="AB27" s="346">
        <f t="shared" si="55"/>
        <v>8359859.5031526871</v>
      </c>
      <c r="AC27" s="346">
        <f t="shared" si="55"/>
        <v>15333897.378614051</v>
      </c>
      <c r="AD27" s="346">
        <f t="shared" si="55"/>
        <v>8359859.5031526871</v>
      </c>
      <c r="AE27" s="346">
        <f t="shared" si="55"/>
        <v>8359859.5031526871</v>
      </c>
      <c r="AF27" s="346">
        <f t="shared" si="55"/>
        <v>8359859.5031526871</v>
      </c>
      <c r="AG27" s="346">
        <f t="shared" si="55"/>
        <v>8359859.5031526871</v>
      </c>
      <c r="AH27" s="346">
        <f t="shared" si="55"/>
        <v>8359859.5031526871</v>
      </c>
      <c r="AI27" s="346">
        <f t="shared" si="55"/>
        <v>8359859.5031526871</v>
      </c>
      <c r="AJ27" s="346">
        <f t="shared" ref="AJ27:AS27" si="56">AJ26+AJ24</f>
        <v>8359859.5031526871</v>
      </c>
      <c r="AK27" s="346">
        <f t="shared" si="56"/>
        <v>8359859.5031526871</v>
      </c>
      <c r="AL27" s="346">
        <f t="shared" si="56"/>
        <v>8359859.5031526871</v>
      </c>
      <c r="AM27" s="346">
        <f t="shared" si="56"/>
        <v>11529225.047390522</v>
      </c>
      <c r="AN27" s="346">
        <f t="shared" si="56"/>
        <v>8359859.5031526871</v>
      </c>
      <c r="AO27" s="346">
        <f t="shared" si="56"/>
        <v>8359859.5031526871</v>
      </c>
      <c r="AP27" s="346">
        <f t="shared" si="56"/>
        <v>8359859.5031526871</v>
      </c>
      <c r="AQ27" s="346">
        <f t="shared" si="56"/>
        <v>8359859.5031526871</v>
      </c>
      <c r="AR27" s="346">
        <f t="shared" si="56"/>
        <v>8359859.5031526871</v>
      </c>
      <c r="AS27" s="346">
        <f t="shared" si="56"/>
        <v>8359859.5031526871</v>
      </c>
    </row>
    <row r="28" spans="2:45">
      <c r="E28" s="347"/>
      <c r="G28" s="347"/>
    </row>
    <row r="29" spans="2:45" s="349" customFormat="1"/>
    <row r="30" spans="2:45" ht="15.75" thickBot="1"/>
    <row r="31" spans="2:45">
      <c r="B31" s="968" t="s">
        <v>601</v>
      </c>
      <c r="C31" s="969"/>
      <c r="D31" s="970"/>
      <c r="E31" s="369"/>
    </row>
    <row r="32" spans="2:45" ht="15.75" thickBot="1">
      <c r="B32" s="971"/>
      <c r="C32" s="972"/>
      <c r="D32" s="973"/>
      <c r="E32" s="369"/>
    </row>
    <row r="35" spans="2:11" ht="15.75" thickBot="1"/>
    <row r="36" spans="2:11" s="391" customFormat="1" ht="49.5" customHeight="1">
      <c r="B36" s="974" t="s">
        <v>749</v>
      </c>
      <c r="C36" s="976" t="s">
        <v>599</v>
      </c>
      <c r="D36" s="976"/>
      <c r="E36" s="977"/>
      <c r="F36" s="991" t="s">
        <v>840</v>
      </c>
      <c r="G36" s="976"/>
      <c r="H36" s="992"/>
      <c r="I36" s="991" t="s">
        <v>841</v>
      </c>
      <c r="J36" s="976"/>
      <c r="K36" s="992"/>
    </row>
    <row r="37" spans="2:11" ht="15.75" thickBot="1">
      <c r="B37" s="975"/>
      <c r="C37" s="350" t="s">
        <v>750</v>
      </c>
      <c r="D37" s="350" t="s">
        <v>751</v>
      </c>
      <c r="E37" s="351" t="s">
        <v>752</v>
      </c>
      <c r="F37" s="352" t="s">
        <v>753</v>
      </c>
      <c r="G37" s="350" t="s">
        <v>754</v>
      </c>
      <c r="H37" s="353" t="s">
        <v>755</v>
      </c>
      <c r="I37" s="352" t="s">
        <v>753</v>
      </c>
      <c r="J37" s="350" t="s">
        <v>754</v>
      </c>
      <c r="K37" s="353" t="s">
        <v>755</v>
      </c>
    </row>
    <row r="38" spans="2:11">
      <c r="B38" s="354" t="s">
        <v>756</v>
      </c>
      <c r="C38" s="355">
        <v>11</v>
      </c>
      <c r="D38" s="355">
        <v>42960.499999999993</v>
      </c>
      <c r="E38" s="356">
        <v>20621.039999999997</v>
      </c>
      <c r="F38" s="357">
        <v>11</v>
      </c>
      <c r="G38" s="355">
        <v>42960.499999999993</v>
      </c>
      <c r="H38" s="358">
        <v>20621.039999999997</v>
      </c>
      <c r="I38" s="357">
        <v>11</v>
      </c>
      <c r="J38" s="355">
        <v>42960.499999999993</v>
      </c>
      <c r="K38" s="358">
        <v>20621.039999999997</v>
      </c>
    </row>
    <row r="39" spans="2:11">
      <c r="B39" s="359" t="s">
        <v>757</v>
      </c>
      <c r="C39" s="360">
        <v>12.5</v>
      </c>
      <c r="D39" s="360">
        <v>48818.75</v>
      </c>
      <c r="E39" s="361">
        <v>23433</v>
      </c>
      <c r="F39" s="357">
        <v>12.5</v>
      </c>
      <c r="G39" s="355">
        <v>48818.75</v>
      </c>
      <c r="H39" s="358">
        <v>23433</v>
      </c>
      <c r="I39" s="357">
        <v>12.5</v>
      </c>
      <c r="J39" s="355">
        <v>48818.75</v>
      </c>
      <c r="K39" s="358">
        <v>23433</v>
      </c>
    </row>
    <row r="40" spans="2:11">
      <c r="B40" s="359" t="s">
        <v>758</v>
      </c>
      <c r="C40" s="360">
        <v>0.875</v>
      </c>
      <c r="D40" s="360">
        <v>3417.3124999999995</v>
      </c>
      <c r="E40" s="361">
        <v>1640.3099999999995</v>
      </c>
      <c r="F40" s="357">
        <v>0.875</v>
      </c>
      <c r="G40" s="355">
        <v>3417.3124999999995</v>
      </c>
      <c r="H40" s="358">
        <v>1640.3099999999995</v>
      </c>
      <c r="I40" s="357">
        <v>0.875</v>
      </c>
      <c r="J40" s="355">
        <v>3417.3124999999995</v>
      </c>
      <c r="K40" s="358">
        <v>1640.3099999999995</v>
      </c>
    </row>
    <row r="41" spans="2:11">
      <c r="B41" s="359" t="s">
        <v>759</v>
      </c>
      <c r="C41" s="360">
        <v>2.5</v>
      </c>
      <c r="D41" s="360">
        <v>9763.75</v>
      </c>
      <c r="E41" s="361">
        <v>4686.6000000000004</v>
      </c>
      <c r="F41" s="357">
        <v>2.5</v>
      </c>
      <c r="G41" s="355">
        <v>9763.75</v>
      </c>
      <c r="H41" s="358">
        <v>4686.6000000000004</v>
      </c>
      <c r="I41" s="357">
        <v>2.5</v>
      </c>
      <c r="J41" s="355">
        <v>9763.75</v>
      </c>
      <c r="K41" s="358">
        <v>4686.6000000000004</v>
      </c>
    </row>
    <row r="42" spans="2:11">
      <c r="B42" s="359" t="s">
        <v>760</v>
      </c>
      <c r="C42" s="360">
        <v>1.75</v>
      </c>
      <c r="D42" s="360">
        <v>6834.6249999999991</v>
      </c>
      <c r="E42" s="361">
        <v>3280.619999999999</v>
      </c>
      <c r="F42" s="357">
        <v>1.75</v>
      </c>
      <c r="G42" s="355">
        <v>6834.6249999999991</v>
      </c>
      <c r="H42" s="358">
        <v>3280.619999999999</v>
      </c>
      <c r="I42" s="357">
        <v>1.75</v>
      </c>
      <c r="J42" s="355">
        <v>6834.6249999999991</v>
      </c>
      <c r="K42" s="358">
        <v>3280.619999999999</v>
      </c>
    </row>
    <row r="43" spans="2:11">
      <c r="B43" s="359" t="s">
        <v>760</v>
      </c>
      <c r="C43" s="360">
        <v>1.75</v>
      </c>
      <c r="D43" s="360">
        <v>6834.6249999999991</v>
      </c>
      <c r="E43" s="361">
        <v>3280.619999999999</v>
      </c>
      <c r="F43" s="357">
        <v>1.75</v>
      </c>
      <c r="G43" s="355">
        <v>6834.6249999999991</v>
      </c>
      <c r="H43" s="358">
        <v>3280.619999999999</v>
      </c>
      <c r="I43" s="357">
        <v>1.75</v>
      </c>
      <c r="J43" s="355">
        <v>6834.6249999999991</v>
      </c>
      <c r="K43" s="358">
        <v>3280.619999999999</v>
      </c>
    </row>
    <row r="44" spans="2:11">
      <c r="B44" s="359" t="s">
        <v>761</v>
      </c>
      <c r="C44" s="585">
        <v>0.25</v>
      </c>
      <c r="D44" s="360">
        <v>976.37499999999989</v>
      </c>
      <c r="E44" s="361">
        <v>468.65999999999991</v>
      </c>
      <c r="F44" s="586">
        <v>0.25</v>
      </c>
      <c r="G44" s="355">
        <v>976.37499999999989</v>
      </c>
      <c r="H44" s="358">
        <v>468.65999999999991</v>
      </c>
      <c r="I44" s="586">
        <v>0.25</v>
      </c>
      <c r="J44" s="355">
        <v>976.37499999999989</v>
      </c>
      <c r="K44" s="358">
        <v>468.65999999999991</v>
      </c>
    </row>
    <row r="45" spans="2:11">
      <c r="B45" s="359" t="s">
        <v>762</v>
      </c>
      <c r="C45" s="360">
        <v>22.4</v>
      </c>
      <c r="D45" s="360">
        <v>87483.199999999997</v>
      </c>
      <c r="E45" s="361">
        <v>41991.935999999994</v>
      </c>
      <c r="F45" s="357">
        <v>22.4</v>
      </c>
      <c r="G45" s="355">
        <v>87483.199999999997</v>
      </c>
      <c r="H45" s="358">
        <v>41991.935999999994</v>
      </c>
      <c r="I45" s="357">
        <v>22.4</v>
      </c>
      <c r="J45" s="355">
        <v>87483.199999999997</v>
      </c>
      <c r="K45" s="358">
        <v>41991.935999999994</v>
      </c>
    </row>
    <row r="46" spans="2:11">
      <c r="B46" s="359" t="s">
        <v>763</v>
      </c>
      <c r="C46" s="360">
        <v>10.4</v>
      </c>
      <c r="D46" s="360">
        <v>40617.199999999997</v>
      </c>
      <c r="E46" s="361">
        <v>19496.256000000001</v>
      </c>
      <c r="F46" s="357">
        <v>10.4</v>
      </c>
      <c r="G46" s="355">
        <v>40617.199999999997</v>
      </c>
      <c r="H46" s="358">
        <v>19496.256000000001</v>
      </c>
      <c r="I46" s="357">
        <v>10.4</v>
      </c>
      <c r="J46" s="355">
        <v>40617.199999999997</v>
      </c>
      <c r="K46" s="358">
        <v>19496.256000000001</v>
      </c>
    </row>
    <row r="47" spans="2:11" ht="15.75" thickBot="1">
      <c r="B47" s="362" t="s">
        <v>763</v>
      </c>
      <c r="C47" s="363">
        <v>2</v>
      </c>
      <c r="D47" s="363">
        <v>7810.9999999999991</v>
      </c>
      <c r="E47" s="364">
        <v>3749.2799999999993</v>
      </c>
      <c r="F47" s="357">
        <v>2</v>
      </c>
      <c r="G47" s="355">
        <v>7810.9999999999991</v>
      </c>
      <c r="H47" s="358">
        <v>3749.2799999999993</v>
      </c>
      <c r="I47" s="357">
        <v>2</v>
      </c>
      <c r="J47" s="355">
        <v>7810.9999999999991</v>
      </c>
      <c r="K47" s="358">
        <v>3749.2799999999993</v>
      </c>
    </row>
    <row r="48" spans="2:11" ht="19.5" thickBot="1">
      <c r="B48" s="365" t="s">
        <v>602</v>
      </c>
      <c r="C48" s="366">
        <f t="shared" ref="C48:J48" si="57">SUM(C38:C47)</f>
        <v>65.424999999999997</v>
      </c>
      <c r="D48" s="366">
        <f t="shared" si="57"/>
        <v>255517.33750000002</v>
      </c>
      <c r="E48" s="367">
        <f>SUM(E38:E47)/Parametre!$C$26</f>
        <v>141850.43174588273</v>
      </c>
      <c r="F48" s="366">
        <f t="shared" si="57"/>
        <v>65.424999999999997</v>
      </c>
      <c r="G48" s="366">
        <f t="shared" si="57"/>
        <v>255517.33750000002</v>
      </c>
      <c r="H48" s="367">
        <f>SUM(H38:H47)/Parametre!$C$26</f>
        <v>141850.43174588273</v>
      </c>
      <c r="I48" s="366">
        <f t="shared" si="57"/>
        <v>65.424999999999997</v>
      </c>
      <c r="J48" s="366">
        <f t="shared" si="57"/>
        <v>255517.33750000002</v>
      </c>
      <c r="K48" s="367">
        <f>SUM(K38:K47)/Parametre!$C$26</f>
        <v>141850.43174588273</v>
      </c>
    </row>
    <row r="50" spans="2:12" s="349" customFormat="1"/>
    <row r="51" spans="2:12" ht="15.75" thickBot="1"/>
    <row r="52" spans="2:12">
      <c r="B52" s="968" t="s">
        <v>81</v>
      </c>
      <c r="C52" s="969"/>
      <c r="D52" s="970"/>
    </row>
    <row r="53" spans="2:12" ht="15.75" thickBot="1">
      <c r="B53" s="971"/>
      <c r="C53" s="972"/>
      <c r="D53" s="973"/>
    </row>
    <row r="55" spans="2:12" ht="15.75" thickBot="1"/>
    <row r="56" spans="2:12" ht="47.25" customHeight="1">
      <c r="B56" s="952" t="s">
        <v>603</v>
      </c>
      <c r="C56" s="952" t="s">
        <v>604</v>
      </c>
      <c r="D56" s="954" t="s">
        <v>599</v>
      </c>
      <c r="E56" s="955"/>
      <c r="F56" s="956"/>
      <c r="G56" s="957" t="s">
        <v>842</v>
      </c>
      <c r="H56" s="958"/>
      <c r="I56" s="959"/>
      <c r="J56" s="957" t="s">
        <v>841</v>
      </c>
      <c r="K56" s="958"/>
      <c r="L56" s="959"/>
    </row>
    <row r="57" spans="2:12" ht="15.75" thickBot="1">
      <c r="B57" s="953"/>
      <c r="C57" s="953"/>
      <c r="D57" s="629" t="s">
        <v>605</v>
      </c>
      <c r="E57" s="630" t="s">
        <v>606</v>
      </c>
      <c r="F57" s="631" t="s">
        <v>607</v>
      </c>
      <c r="G57" s="632" t="s">
        <v>605</v>
      </c>
      <c r="H57" s="630" t="s">
        <v>606</v>
      </c>
      <c r="I57" s="631" t="s">
        <v>607</v>
      </c>
      <c r="J57" s="632" t="s">
        <v>605</v>
      </c>
      <c r="K57" s="630" t="s">
        <v>606</v>
      </c>
      <c r="L57" s="631" t="s">
        <v>607</v>
      </c>
    </row>
    <row r="58" spans="2:12">
      <c r="B58" s="944" t="str">
        <f>B108</f>
        <v>NŽST Strážske</v>
      </c>
      <c r="C58" s="634" t="str">
        <f>E109</f>
        <v>Výpravca</v>
      </c>
      <c r="D58" s="545">
        <f>G109</f>
        <v>6</v>
      </c>
      <c r="E58" s="554">
        <f>F109</f>
        <v>2379.77</v>
      </c>
      <c r="F58" s="635">
        <f>(D58*E58)*12</f>
        <v>171343.44</v>
      </c>
      <c r="G58" s="550">
        <f>K109</f>
        <v>6</v>
      </c>
      <c r="H58" s="554">
        <f>F109</f>
        <v>2379.77</v>
      </c>
      <c r="I58" s="635">
        <f>(G58*H58)*12</f>
        <v>171343.44</v>
      </c>
      <c r="J58" s="550">
        <f>K109</f>
        <v>6</v>
      </c>
      <c r="K58" s="554">
        <f>F109</f>
        <v>2379.77</v>
      </c>
      <c r="L58" s="555">
        <f>(J58*K58)*12</f>
        <v>171343.44</v>
      </c>
    </row>
    <row r="59" spans="2:12">
      <c r="B59" s="950"/>
      <c r="C59" s="637" t="str">
        <f t="shared" ref="C59:C60" si="58">E110</f>
        <v>Signalista</v>
      </c>
      <c r="D59" s="546">
        <f t="shared" ref="D59:D60" si="59">G110</f>
        <v>11</v>
      </c>
      <c r="E59" s="638">
        <f t="shared" ref="E59:E60" si="60">F110</f>
        <v>1889.21</v>
      </c>
      <c r="F59" s="639">
        <f t="shared" ref="F59:F100" si="61">(D59*E59)*12</f>
        <v>249375.72000000003</v>
      </c>
      <c r="G59" s="551">
        <f t="shared" ref="G59:G60" si="62">K110</f>
        <v>11</v>
      </c>
      <c r="H59" s="640">
        <f t="shared" ref="H59:H60" si="63">F110</f>
        <v>1889.21</v>
      </c>
      <c r="I59" s="639">
        <f t="shared" ref="I59:I100" si="64">(G59*H59)*12</f>
        <v>249375.72000000003</v>
      </c>
      <c r="J59" s="551">
        <f t="shared" ref="J59:J60" si="65">K110</f>
        <v>11</v>
      </c>
      <c r="K59" s="638">
        <f t="shared" ref="K59:K60" si="66">F110</f>
        <v>1889.21</v>
      </c>
      <c r="L59" s="641">
        <f t="shared" ref="L59:L100" si="67">(J59*K59)*12</f>
        <v>249375.72000000003</v>
      </c>
    </row>
    <row r="60" spans="2:12" ht="15.75" thickBot="1">
      <c r="B60" s="951"/>
      <c r="C60" s="642" t="str">
        <f t="shared" si="58"/>
        <v>Robotník v doprave</v>
      </c>
      <c r="D60" s="547">
        <f t="shared" si="59"/>
        <v>2</v>
      </c>
      <c r="E60" s="556">
        <f t="shared" si="60"/>
        <v>1340.15</v>
      </c>
      <c r="F60" s="643">
        <f t="shared" si="61"/>
        <v>32163.600000000002</v>
      </c>
      <c r="G60" s="552">
        <f t="shared" si="62"/>
        <v>2</v>
      </c>
      <c r="H60" s="644">
        <f t="shared" si="63"/>
        <v>1340.15</v>
      </c>
      <c r="I60" s="643">
        <f t="shared" si="64"/>
        <v>32163.600000000002</v>
      </c>
      <c r="J60" s="645">
        <f t="shared" si="65"/>
        <v>2</v>
      </c>
      <c r="K60" s="646">
        <f t="shared" si="66"/>
        <v>1340.15</v>
      </c>
      <c r="L60" s="647">
        <f t="shared" si="67"/>
        <v>32163.600000000002</v>
      </c>
    </row>
    <row r="61" spans="2:12">
      <c r="B61" s="944" t="str">
        <f>B113</f>
        <v>ŽST PREŠOV</v>
      </c>
      <c r="C61" s="633" t="str">
        <f>E114</f>
        <v>Prednosta ŽST</v>
      </c>
      <c r="D61" s="545">
        <f>G114</f>
        <v>1</v>
      </c>
      <c r="E61" s="554">
        <f>F114</f>
        <v>2842.57</v>
      </c>
      <c r="F61" s="635">
        <f t="shared" si="61"/>
        <v>34110.840000000004</v>
      </c>
      <c r="G61" s="545">
        <f>K114</f>
        <v>1</v>
      </c>
      <c r="H61" s="554">
        <f>F114</f>
        <v>2842.57</v>
      </c>
      <c r="I61" s="635">
        <f t="shared" si="64"/>
        <v>34110.840000000004</v>
      </c>
      <c r="J61" s="545">
        <f>K114</f>
        <v>1</v>
      </c>
      <c r="K61" s="554">
        <f>F114</f>
        <v>2842.57</v>
      </c>
      <c r="L61" s="555">
        <f t="shared" si="67"/>
        <v>34110.840000000004</v>
      </c>
    </row>
    <row r="62" spans="2:12">
      <c r="B62" s="950"/>
      <c r="C62" s="636" t="str">
        <f t="shared" ref="C62:C75" si="68">E115</f>
        <v>Dopravný námestník ŽST</v>
      </c>
      <c r="D62" s="548">
        <f t="shared" ref="D62:D75" si="69">G115</f>
        <v>1</v>
      </c>
      <c r="E62" s="638">
        <f t="shared" ref="E62:E75" si="70">F115</f>
        <v>2512</v>
      </c>
      <c r="F62" s="639">
        <f t="shared" si="61"/>
        <v>30144</v>
      </c>
      <c r="G62" s="546">
        <f t="shared" ref="G62:G75" si="71">K115</f>
        <v>1</v>
      </c>
      <c r="H62" s="638">
        <f t="shared" ref="H62:H75" si="72">F115</f>
        <v>2512</v>
      </c>
      <c r="I62" s="639">
        <f t="shared" si="64"/>
        <v>30144</v>
      </c>
      <c r="J62" s="546">
        <f t="shared" ref="J62:J75" si="73">K115</f>
        <v>1</v>
      </c>
      <c r="K62" s="638">
        <f t="shared" ref="K62:K75" si="74">F115</f>
        <v>2512</v>
      </c>
      <c r="L62" s="641">
        <f t="shared" si="67"/>
        <v>30144</v>
      </c>
    </row>
    <row r="63" spans="2:12">
      <c r="B63" s="950"/>
      <c r="C63" s="636" t="str">
        <f t="shared" si="68"/>
        <v>Námestník pre KRaO v stre</v>
      </c>
      <c r="D63" s="548">
        <f t="shared" si="69"/>
        <v>1</v>
      </c>
      <c r="E63" s="638">
        <f t="shared" si="70"/>
        <v>2346.35</v>
      </c>
      <c r="F63" s="639">
        <f t="shared" si="61"/>
        <v>28156.199999999997</v>
      </c>
      <c r="G63" s="546">
        <f t="shared" si="71"/>
        <v>1</v>
      </c>
      <c r="H63" s="638">
        <f t="shared" si="72"/>
        <v>2346.35</v>
      </c>
      <c r="I63" s="639">
        <f t="shared" si="64"/>
        <v>28156.199999999997</v>
      </c>
      <c r="J63" s="546">
        <f t="shared" si="73"/>
        <v>1</v>
      </c>
      <c r="K63" s="638">
        <f t="shared" si="74"/>
        <v>2346.35</v>
      </c>
      <c r="L63" s="641">
        <f t="shared" si="67"/>
        <v>28156.199999999997</v>
      </c>
    </row>
    <row r="64" spans="2:12">
      <c r="B64" s="950"/>
      <c r="C64" s="636" t="str">
        <f t="shared" si="68"/>
        <v>Výpravca</v>
      </c>
      <c r="D64" s="548">
        <f t="shared" si="69"/>
        <v>7</v>
      </c>
      <c r="E64" s="638">
        <f t="shared" si="70"/>
        <v>2270.9699999999998</v>
      </c>
      <c r="F64" s="639">
        <f t="shared" si="61"/>
        <v>190761.47999999998</v>
      </c>
      <c r="G64" s="546">
        <f t="shared" si="71"/>
        <v>12</v>
      </c>
      <c r="H64" s="638">
        <f t="shared" si="72"/>
        <v>2270.9699999999998</v>
      </c>
      <c r="I64" s="639">
        <f t="shared" si="64"/>
        <v>327019.68</v>
      </c>
      <c r="J64" s="546">
        <f t="shared" si="73"/>
        <v>12</v>
      </c>
      <c r="K64" s="638">
        <f t="shared" si="74"/>
        <v>2270.9699999999998</v>
      </c>
      <c r="L64" s="641">
        <f t="shared" si="67"/>
        <v>327019.68</v>
      </c>
    </row>
    <row r="65" spans="2:12">
      <c r="B65" s="950"/>
      <c r="C65" s="636" t="str">
        <f t="shared" si="68"/>
        <v>Výpravca</v>
      </c>
      <c r="D65" s="548">
        <f t="shared" si="69"/>
        <v>10</v>
      </c>
      <c r="E65" s="638">
        <f t="shared" si="70"/>
        <v>2206.38</v>
      </c>
      <c r="F65" s="639">
        <f t="shared" si="61"/>
        <v>264765.60000000003</v>
      </c>
      <c r="G65" s="546">
        <f t="shared" si="71"/>
        <v>10</v>
      </c>
      <c r="H65" s="638">
        <f t="shared" si="72"/>
        <v>2206.38</v>
      </c>
      <c r="I65" s="639">
        <f t="shared" si="64"/>
        <v>264765.60000000003</v>
      </c>
      <c r="J65" s="546">
        <f t="shared" si="73"/>
        <v>10</v>
      </c>
      <c r="K65" s="638">
        <f t="shared" si="74"/>
        <v>2206.38</v>
      </c>
      <c r="L65" s="641">
        <f t="shared" si="67"/>
        <v>264765.60000000003</v>
      </c>
    </row>
    <row r="66" spans="2:12">
      <c r="B66" s="950"/>
      <c r="C66" s="636" t="str">
        <f t="shared" si="68"/>
        <v>Dozorca prevádzky</v>
      </c>
      <c r="D66" s="548">
        <f t="shared" si="69"/>
        <v>1</v>
      </c>
      <c r="E66" s="638">
        <f t="shared" si="70"/>
        <v>1821.77</v>
      </c>
      <c r="F66" s="639">
        <f t="shared" si="61"/>
        <v>21861.239999999998</v>
      </c>
      <c r="G66" s="546">
        <f t="shared" si="71"/>
        <v>1</v>
      </c>
      <c r="H66" s="638">
        <f t="shared" si="72"/>
        <v>1821.77</v>
      </c>
      <c r="I66" s="639">
        <f t="shared" si="64"/>
        <v>21861.239999999998</v>
      </c>
      <c r="J66" s="546">
        <f t="shared" si="73"/>
        <v>1</v>
      </c>
      <c r="K66" s="638">
        <f t="shared" si="74"/>
        <v>1821.77</v>
      </c>
      <c r="L66" s="641">
        <f t="shared" si="67"/>
        <v>21861.239999999998</v>
      </c>
    </row>
    <row r="67" spans="2:12">
      <c r="B67" s="950"/>
      <c r="C67" s="636" t="str">
        <f t="shared" si="68"/>
        <v>Odborný zamestnanec riade</v>
      </c>
      <c r="D67" s="548">
        <f t="shared" si="69"/>
        <v>1</v>
      </c>
      <c r="E67" s="638">
        <f t="shared" si="70"/>
        <v>1572.46</v>
      </c>
      <c r="F67" s="639">
        <f t="shared" si="61"/>
        <v>18869.52</v>
      </c>
      <c r="G67" s="546">
        <f t="shared" si="71"/>
        <v>1</v>
      </c>
      <c r="H67" s="638">
        <f t="shared" si="72"/>
        <v>1572.46</v>
      </c>
      <c r="I67" s="639">
        <f t="shared" si="64"/>
        <v>18869.52</v>
      </c>
      <c r="J67" s="546">
        <f t="shared" si="73"/>
        <v>1</v>
      </c>
      <c r="K67" s="638">
        <f t="shared" si="74"/>
        <v>1572.46</v>
      </c>
      <c r="L67" s="641">
        <f t="shared" si="67"/>
        <v>18869.52</v>
      </c>
    </row>
    <row r="68" spans="2:12">
      <c r="B68" s="950"/>
      <c r="C68" s="636" t="str">
        <f t="shared" si="68"/>
        <v>Komandujúci</v>
      </c>
      <c r="D68" s="548">
        <f t="shared" si="69"/>
        <v>1</v>
      </c>
      <c r="E68" s="638">
        <f t="shared" si="70"/>
        <v>1490.69</v>
      </c>
      <c r="F68" s="639">
        <f t="shared" si="61"/>
        <v>17888.28</v>
      </c>
      <c r="G68" s="546">
        <f t="shared" si="71"/>
        <v>1</v>
      </c>
      <c r="H68" s="638">
        <f t="shared" si="72"/>
        <v>1490.69</v>
      </c>
      <c r="I68" s="639">
        <f t="shared" si="64"/>
        <v>17888.28</v>
      </c>
      <c r="J68" s="546">
        <f t="shared" si="73"/>
        <v>1</v>
      </c>
      <c r="K68" s="638">
        <f t="shared" si="74"/>
        <v>1490.69</v>
      </c>
      <c r="L68" s="641">
        <f t="shared" si="67"/>
        <v>17888.28</v>
      </c>
    </row>
    <row r="69" spans="2:12">
      <c r="B69" s="950"/>
      <c r="C69" s="636" t="str">
        <f t="shared" si="68"/>
        <v>Vedúci technológ</v>
      </c>
      <c r="D69" s="548">
        <f t="shared" si="69"/>
        <v>1</v>
      </c>
      <c r="E69" s="638">
        <f t="shared" si="70"/>
        <v>1672.02</v>
      </c>
      <c r="F69" s="639">
        <f t="shared" si="61"/>
        <v>20064.239999999998</v>
      </c>
      <c r="G69" s="546">
        <f t="shared" si="71"/>
        <v>1</v>
      </c>
      <c r="H69" s="638">
        <f t="shared" si="72"/>
        <v>1672.02</v>
      </c>
      <c r="I69" s="639">
        <f t="shared" si="64"/>
        <v>20064.239999999998</v>
      </c>
      <c r="J69" s="546">
        <f t="shared" si="73"/>
        <v>1</v>
      </c>
      <c r="K69" s="638">
        <f t="shared" si="74"/>
        <v>1672.02</v>
      </c>
      <c r="L69" s="641">
        <f t="shared" si="67"/>
        <v>20064.239999999998</v>
      </c>
    </row>
    <row r="70" spans="2:12">
      <c r="B70" s="950"/>
      <c r="C70" s="636" t="str">
        <f t="shared" si="68"/>
        <v>Referent krízového riaden</v>
      </c>
      <c r="D70" s="548">
        <f t="shared" si="69"/>
        <v>1</v>
      </c>
      <c r="E70" s="638">
        <f t="shared" si="70"/>
        <v>1280.08</v>
      </c>
      <c r="F70" s="639">
        <f t="shared" si="61"/>
        <v>15360.96</v>
      </c>
      <c r="G70" s="546">
        <f t="shared" si="71"/>
        <v>1</v>
      </c>
      <c r="H70" s="638">
        <f t="shared" si="72"/>
        <v>1280.08</v>
      </c>
      <c r="I70" s="639">
        <f t="shared" si="64"/>
        <v>15360.96</v>
      </c>
      <c r="J70" s="546">
        <f t="shared" si="73"/>
        <v>1</v>
      </c>
      <c r="K70" s="638">
        <f t="shared" si="74"/>
        <v>1280.08</v>
      </c>
      <c r="L70" s="641">
        <f t="shared" si="67"/>
        <v>15360.96</v>
      </c>
    </row>
    <row r="71" spans="2:12">
      <c r="B71" s="950"/>
      <c r="C71" s="636" t="str">
        <f t="shared" si="68"/>
        <v>Referent prierezových čin</v>
      </c>
      <c r="D71" s="548">
        <f t="shared" si="69"/>
        <v>1</v>
      </c>
      <c r="E71" s="638">
        <f t="shared" si="70"/>
        <v>1452.89</v>
      </c>
      <c r="F71" s="639">
        <f t="shared" si="61"/>
        <v>17434.68</v>
      </c>
      <c r="G71" s="546">
        <f t="shared" si="71"/>
        <v>1</v>
      </c>
      <c r="H71" s="638">
        <f t="shared" si="72"/>
        <v>1452.89</v>
      </c>
      <c r="I71" s="639">
        <f t="shared" si="64"/>
        <v>17434.68</v>
      </c>
      <c r="J71" s="546">
        <f t="shared" si="73"/>
        <v>1</v>
      </c>
      <c r="K71" s="638">
        <f t="shared" si="74"/>
        <v>1452.89</v>
      </c>
      <c r="L71" s="641">
        <f t="shared" si="67"/>
        <v>17434.68</v>
      </c>
    </row>
    <row r="72" spans="2:12">
      <c r="B72" s="950"/>
      <c r="C72" s="636" t="str">
        <f t="shared" si="68"/>
        <v>Operátor</v>
      </c>
      <c r="D72" s="548">
        <f t="shared" si="69"/>
        <v>3</v>
      </c>
      <c r="E72" s="638">
        <f t="shared" si="70"/>
        <v>1524.32</v>
      </c>
      <c r="F72" s="639">
        <f t="shared" si="61"/>
        <v>54875.520000000004</v>
      </c>
      <c r="G72" s="546">
        <f t="shared" si="71"/>
        <v>5</v>
      </c>
      <c r="H72" s="638">
        <f t="shared" si="72"/>
        <v>1524.32</v>
      </c>
      <c r="I72" s="639">
        <f t="shared" si="64"/>
        <v>91459.199999999997</v>
      </c>
      <c r="J72" s="546">
        <f t="shared" si="73"/>
        <v>5</v>
      </c>
      <c r="K72" s="638">
        <f t="shared" si="74"/>
        <v>1524.32</v>
      </c>
      <c r="L72" s="641">
        <f t="shared" si="67"/>
        <v>91459.199999999997</v>
      </c>
    </row>
    <row r="73" spans="2:12">
      <c r="B73" s="950"/>
      <c r="C73" s="636" t="str">
        <f t="shared" si="68"/>
        <v>Údržbár</v>
      </c>
      <c r="D73" s="548">
        <f t="shared" si="69"/>
        <v>1</v>
      </c>
      <c r="E73" s="638">
        <f t="shared" si="70"/>
        <v>1232.42</v>
      </c>
      <c r="F73" s="639">
        <f t="shared" si="61"/>
        <v>14789.04</v>
      </c>
      <c r="G73" s="546">
        <f t="shared" si="71"/>
        <v>1</v>
      </c>
      <c r="H73" s="638">
        <f t="shared" si="72"/>
        <v>1232.42</v>
      </c>
      <c r="I73" s="639">
        <f t="shared" si="64"/>
        <v>14789.04</v>
      </c>
      <c r="J73" s="546">
        <f t="shared" si="73"/>
        <v>1</v>
      </c>
      <c r="K73" s="638">
        <f t="shared" si="74"/>
        <v>1232.42</v>
      </c>
      <c r="L73" s="641">
        <f t="shared" si="67"/>
        <v>14789.04</v>
      </c>
    </row>
    <row r="74" spans="2:12">
      <c r="B74" s="950"/>
      <c r="C74" s="636" t="str">
        <f t="shared" si="68"/>
        <v>Signalista</v>
      </c>
      <c r="D74" s="548">
        <f t="shared" si="69"/>
        <v>5</v>
      </c>
      <c r="E74" s="638">
        <f t="shared" si="70"/>
        <v>1922.19</v>
      </c>
      <c r="F74" s="639">
        <f t="shared" si="61"/>
        <v>115331.40000000001</v>
      </c>
      <c r="G74" s="546">
        <f t="shared" si="71"/>
        <v>5</v>
      </c>
      <c r="H74" s="638">
        <f t="shared" si="72"/>
        <v>1922.19</v>
      </c>
      <c r="I74" s="639">
        <f t="shared" si="64"/>
        <v>115331.40000000001</v>
      </c>
      <c r="J74" s="546">
        <f t="shared" si="73"/>
        <v>5</v>
      </c>
      <c r="K74" s="638">
        <f t="shared" si="74"/>
        <v>1922.19</v>
      </c>
      <c r="L74" s="641">
        <f t="shared" si="67"/>
        <v>115331.40000000001</v>
      </c>
    </row>
    <row r="75" spans="2:12" ht="15.75" thickBot="1">
      <c r="B75" s="945"/>
      <c r="C75" s="648" t="str">
        <f t="shared" si="68"/>
        <v>Robotník v doprave</v>
      </c>
      <c r="D75" s="549">
        <f t="shared" si="69"/>
        <v>5</v>
      </c>
      <c r="E75" s="556">
        <f t="shared" si="70"/>
        <v>1561.05</v>
      </c>
      <c r="F75" s="643">
        <f t="shared" si="61"/>
        <v>93663</v>
      </c>
      <c r="G75" s="547">
        <f t="shared" si="71"/>
        <v>5</v>
      </c>
      <c r="H75" s="556">
        <f t="shared" si="72"/>
        <v>1561.05</v>
      </c>
      <c r="I75" s="643">
        <f t="shared" si="64"/>
        <v>93663</v>
      </c>
      <c r="J75" s="629">
        <f t="shared" si="73"/>
        <v>5</v>
      </c>
      <c r="K75" s="646">
        <f t="shared" si="74"/>
        <v>1561.05</v>
      </c>
      <c r="L75" s="647">
        <f t="shared" si="67"/>
        <v>93663</v>
      </c>
    </row>
    <row r="76" spans="2:12">
      <c r="B76" s="944" t="str">
        <f>B130</f>
        <v>NŽST Šarišské Lúky</v>
      </c>
      <c r="C76" s="634" t="str">
        <f>E131</f>
        <v>Výpravca</v>
      </c>
      <c r="D76" s="545">
        <f>G131</f>
        <v>1</v>
      </c>
      <c r="E76" s="554">
        <f>F131</f>
        <v>2270.9699999999998</v>
      </c>
      <c r="F76" s="635">
        <f t="shared" si="61"/>
        <v>27251.64</v>
      </c>
      <c r="G76" s="545">
        <f>K131</f>
        <v>0</v>
      </c>
      <c r="H76" s="649">
        <f>F131</f>
        <v>2270.9699999999998</v>
      </c>
      <c r="I76" s="635">
        <f t="shared" si="64"/>
        <v>0</v>
      </c>
      <c r="J76" s="545">
        <f>K131</f>
        <v>0</v>
      </c>
      <c r="K76" s="649">
        <f>F131</f>
        <v>2270.9699999999998</v>
      </c>
      <c r="L76" s="555">
        <f t="shared" si="67"/>
        <v>0</v>
      </c>
    </row>
    <row r="77" spans="2:12">
      <c r="B77" s="950"/>
      <c r="C77" s="637" t="str">
        <f t="shared" ref="C77:C78" si="75">E132</f>
        <v>Výpravca</v>
      </c>
      <c r="D77" s="546">
        <f t="shared" ref="D77:D78" si="76">G132</f>
        <v>5</v>
      </c>
      <c r="E77" s="638">
        <f t="shared" ref="E77:E78" si="77">F132</f>
        <v>1946.53</v>
      </c>
      <c r="F77" s="639">
        <f t="shared" si="61"/>
        <v>116791.79999999999</v>
      </c>
      <c r="G77" s="546">
        <f t="shared" ref="G77:G78" si="78">K132</f>
        <v>0</v>
      </c>
      <c r="H77" s="650">
        <f t="shared" ref="H77:H78" si="79">F132</f>
        <v>1946.53</v>
      </c>
      <c r="I77" s="639">
        <f t="shared" si="64"/>
        <v>0</v>
      </c>
      <c r="J77" s="546">
        <f t="shared" ref="J77:J78" si="80">K132</f>
        <v>0</v>
      </c>
      <c r="K77" s="650">
        <f t="shared" ref="K77:K78" si="81">F132</f>
        <v>1946.53</v>
      </c>
      <c r="L77" s="641">
        <f t="shared" si="67"/>
        <v>0</v>
      </c>
    </row>
    <row r="78" spans="2:12" ht="15.75" thickBot="1">
      <c r="B78" s="945"/>
      <c r="C78" s="651" t="str">
        <f t="shared" si="75"/>
        <v>Dozorca výhybiek</v>
      </c>
      <c r="D78" s="547">
        <f t="shared" si="76"/>
        <v>10</v>
      </c>
      <c r="E78" s="556">
        <f t="shared" si="77"/>
        <v>1784.43</v>
      </c>
      <c r="F78" s="643">
        <f t="shared" si="61"/>
        <v>214131.59999999998</v>
      </c>
      <c r="G78" s="547">
        <f t="shared" si="78"/>
        <v>2</v>
      </c>
      <c r="H78" s="652">
        <f t="shared" si="79"/>
        <v>1784.43</v>
      </c>
      <c r="I78" s="643">
        <f t="shared" si="64"/>
        <v>42826.32</v>
      </c>
      <c r="J78" s="547">
        <f t="shared" si="80"/>
        <v>2</v>
      </c>
      <c r="K78" s="652">
        <f t="shared" si="81"/>
        <v>1784.43</v>
      </c>
      <c r="L78" s="557">
        <f t="shared" si="67"/>
        <v>42826.32</v>
      </c>
    </row>
    <row r="79" spans="2:12">
      <c r="B79" s="944" t="str">
        <f>B135</f>
        <v>NŽST Kapušany pri Prešove</v>
      </c>
      <c r="C79" s="634" t="str">
        <f>E136</f>
        <v>Výpravca</v>
      </c>
      <c r="D79" s="545">
        <f>G136</f>
        <v>6</v>
      </c>
      <c r="E79" s="554">
        <f>F136</f>
        <v>2360.2800000000002</v>
      </c>
      <c r="F79" s="555">
        <f t="shared" si="61"/>
        <v>169940.16</v>
      </c>
      <c r="G79" s="545">
        <f>K136</f>
        <v>2</v>
      </c>
      <c r="H79" s="649">
        <f>F136</f>
        <v>2360.2800000000002</v>
      </c>
      <c r="I79" s="635">
        <f t="shared" si="64"/>
        <v>56646.720000000001</v>
      </c>
      <c r="J79" s="548">
        <f>K136</f>
        <v>2</v>
      </c>
      <c r="K79" s="653">
        <f>F136</f>
        <v>2360.2800000000002</v>
      </c>
      <c r="L79" s="654">
        <f t="shared" si="67"/>
        <v>56646.720000000001</v>
      </c>
    </row>
    <row r="80" spans="2:12" ht="15.75" thickBot="1">
      <c r="B80" s="945"/>
      <c r="C80" s="651" t="str">
        <f>E137</f>
        <v>Signalista</v>
      </c>
      <c r="D80" s="547">
        <f>G137</f>
        <v>11</v>
      </c>
      <c r="E80" s="556">
        <f>F137</f>
        <v>1807.96</v>
      </c>
      <c r="F80" s="557">
        <f t="shared" si="61"/>
        <v>238650.72000000003</v>
      </c>
      <c r="G80" s="655">
        <f>K137</f>
        <v>5</v>
      </c>
      <c r="H80" s="656">
        <f>F137</f>
        <v>1807.96</v>
      </c>
      <c r="I80" s="657">
        <f t="shared" si="64"/>
        <v>108477.59999999999</v>
      </c>
      <c r="J80" s="629">
        <f>K137</f>
        <v>5</v>
      </c>
      <c r="K80" s="656">
        <f>F137</f>
        <v>1807.96</v>
      </c>
      <c r="L80" s="647">
        <f t="shared" si="67"/>
        <v>108477.59999999999</v>
      </c>
    </row>
    <row r="81" spans="2:12">
      <c r="B81" s="944" t="str">
        <f>B139</f>
        <v>ŽST VRANOV NAD TOPĽOU</v>
      </c>
      <c r="C81" s="658" t="str">
        <f>E140</f>
        <v>Prednosta ŽST</v>
      </c>
      <c r="D81" s="545">
        <f>G140</f>
        <v>1</v>
      </c>
      <c r="E81" s="554">
        <f>F140</f>
        <v>2708.27</v>
      </c>
      <c r="F81" s="635">
        <f t="shared" si="61"/>
        <v>32499.239999999998</v>
      </c>
      <c r="G81" s="545">
        <f>G140</f>
        <v>1</v>
      </c>
      <c r="H81" s="649">
        <f>F140</f>
        <v>2708.27</v>
      </c>
      <c r="I81" s="555">
        <f t="shared" si="64"/>
        <v>32499.239999999998</v>
      </c>
      <c r="J81" s="545">
        <f>K140</f>
        <v>0</v>
      </c>
      <c r="K81" s="649">
        <f>F140</f>
        <v>2708.27</v>
      </c>
      <c r="L81" s="555">
        <f t="shared" si="67"/>
        <v>0</v>
      </c>
    </row>
    <row r="82" spans="2:12">
      <c r="B82" s="950"/>
      <c r="C82" s="659" t="str">
        <f t="shared" ref="C82:C89" si="82">E141</f>
        <v>Dopravný námestník ŽST</v>
      </c>
      <c r="D82" s="548">
        <f t="shared" ref="D82:D89" si="83">G141</f>
        <v>1</v>
      </c>
      <c r="E82" s="638">
        <f t="shared" ref="E82:E89" si="84">F141</f>
        <v>2314.79</v>
      </c>
      <c r="F82" s="639">
        <f t="shared" si="61"/>
        <v>27777.48</v>
      </c>
      <c r="G82" s="546">
        <f t="shared" ref="G82:G89" si="85">G141</f>
        <v>1</v>
      </c>
      <c r="H82" s="650">
        <f t="shared" ref="H82:H89" si="86">F141</f>
        <v>2314.79</v>
      </c>
      <c r="I82" s="641">
        <f t="shared" si="64"/>
        <v>27777.48</v>
      </c>
      <c r="J82" s="546">
        <f t="shared" ref="J82:J89" si="87">K141</f>
        <v>1</v>
      </c>
      <c r="K82" s="650">
        <f t="shared" ref="K82:K89" si="88">F141</f>
        <v>2314.79</v>
      </c>
      <c r="L82" s="641">
        <f t="shared" si="67"/>
        <v>27777.48</v>
      </c>
    </row>
    <row r="83" spans="2:12">
      <c r="B83" s="950"/>
      <c r="C83" s="659" t="str">
        <f t="shared" si="82"/>
        <v>Výpravca</v>
      </c>
      <c r="D83" s="548">
        <f t="shared" si="83"/>
        <v>1</v>
      </c>
      <c r="E83" s="638">
        <f t="shared" si="84"/>
        <v>2270.9699999999998</v>
      </c>
      <c r="F83" s="639">
        <f t="shared" si="61"/>
        <v>27251.64</v>
      </c>
      <c r="G83" s="546">
        <f t="shared" si="85"/>
        <v>1</v>
      </c>
      <c r="H83" s="650">
        <f t="shared" si="86"/>
        <v>2270.9699999999998</v>
      </c>
      <c r="I83" s="641">
        <f t="shared" si="64"/>
        <v>27251.64</v>
      </c>
      <c r="J83" s="546">
        <f t="shared" si="87"/>
        <v>0</v>
      </c>
      <c r="K83" s="650">
        <f t="shared" si="88"/>
        <v>2270.9699999999998</v>
      </c>
      <c r="L83" s="641">
        <f t="shared" si="67"/>
        <v>0</v>
      </c>
    </row>
    <row r="84" spans="2:12">
      <c r="B84" s="950"/>
      <c r="C84" s="659" t="str">
        <f t="shared" si="82"/>
        <v>Výpravca</v>
      </c>
      <c r="D84" s="548">
        <f t="shared" si="83"/>
        <v>6</v>
      </c>
      <c r="E84" s="638">
        <f t="shared" si="84"/>
        <v>2113.75</v>
      </c>
      <c r="F84" s="639">
        <f t="shared" si="61"/>
        <v>152190</v>
      </c>
      <c r="G84" s="546">
        <f t="shared" si="85"/>
        <v>6</v>
      </c>
      <c r="H84" s="650">
        <f t="shared" si="86"/>
        <v>2113.75</v>
      </c>
      <c r="I84" s="641">
        <f t="shared" si="64"/>
        <v>152190</v>
      </c>
      <c r="J84" s="546">
        <f t="shared" si="87"/>
        <v>0</v>
      </c>
      <c r="K84" s="650">
        <f t="shared" si="88"/>
        <v>2113.75</v>
      </c>
      <c r="L84" s="641">
        <f t="shared" si="67"/>
        <v>0</v>
      </c>
    </row>
    <row r="85" spans="2:12">
      <c r="B85" s="950"/>
      <c r="C85" s="659" t="str">
        <f t="shared" si="82"/>
        <v>Odborný zamestnanec riade</v>
      </c>
      <c r="D85" s="548">
        <f t="shared" si="83"/>
        <v>1</v>
      </c>
      <c r="E85" s="638">
        <f t="shared" si="84"/>
        <v>1612.41</v>
      </c>
      <c r="F85" s="639">
        <f t="shared" si="61"/>
        <v>19348.920000000002</v>
      </c>
      <c r="G85" s="546">
        <f t="shared" si="85"/>
        <v>1</v>
      </c>
      <c r="H85" s="650">
        <f t="shared" si="86"/>
        <v>1612.41</v>
      </c>
      <c r="I85" s="641">
        <f t="shared" si="64"/>
        <v>19348.920000000002</v>
      </c>
      <c r="J85" s="546">
        <f t="shared" si="87"/>
        <v>0</v>
      </c>
      <c r="K85" s="650">
        <f t="shared" si="88"/>
        <v>1612.41</v>
      </c>
      <c r="L85" s="641">
        <f t="shared" si="67"/>
        <v>0</v>
      </c>
    </row>
    <row r="86" spans="2:12">
      <c r="B86" s="950"/>
      <c r="C86" s="659" t="str">
        <f t="shared" si="82"/>
        <v>Referent prierezových čin</v>
      </c>
      <c r="D86" s="548">
        <f t="shared" si="83"/>
        <v>1</v>
      </c>
      <c r="E86" s="638">
        <f t="shared" si="84"/>
        <v>1452.89</v>
      </c>
      <c r="F86" s="639">
        <f t="shared" si="61"/>
        <v>17434.68</v>
      </c>
      <c r="G86" s="546">
        <f t="shared" si="85"/>
        <v>1</v>
      </c>
      <c r="H86" s="650">
        <f t="shared" si="86"/>
        <v>1452.89</v>
      </c>
      <c r="I86" s="641">
        <f t="shared" si="64"/>
        <v>17434.68</v>
      </c>
      <c r="J86" s="546">
        <f t="shared" si="87"/>
        <v>0</v>
      </c>
      <c r="K86" s="650">
        <f t="shared" si="88"/>
        <v>1452.89</v>
      </c>
      <c r="L86" s="641">
        <f t="shared" si="67"/>
        <v>0</v>
      </c>
    </row>
    <row r="87" spans="2:12">
      <c r="B87" s="950"/>
      <c r="C87" s="659" t="str">
        <f t="shared" si="82"/>
        <v>Signalista</v>
      </c>
      <c r="D87" s="548">
        <f t="shared" si="83"/>
        <v>10</v>
      </c>
      <c r="E87" s="638">
        <f t="shared" si="84"/>
        <v>1805.67</v>
      </c>
      <c r="F87" s="639">
        <f t="shared" si="61"/>
        <v>216680.40000000002</v>
      </c>
      <c r="G87" s="546">
        <f t="shared" si="85"/>
        <v>10</v>
      </c>
      <c r="H87" s="650">
        <f t="shared" si="86"/>
        <v>1805.67</v>
      </c>
      <c r="I87" s="641">
        <f t="shared" si="64"/>
        <v>216680.40000000002</v>
      </c>
      <c r="J87" s="546">
        <f t="shared" si="87"/>
        <v>0</v>
      </c>
      <c r="K87" s="650">
        <f t="shared" si="88"/>
        <v>1805.67</v>
      </c>
      <c r="L87" s="641">
        <f t="shared" si="67"/>
        <v>0</v>
      </c>
    </row>
    <row r="88" spans="2:12">
      <c r="B88" s="950"/>
      <c r="C88" s="659" t="str">
        <f t="shared" si="82"/>
        <v>Dozorca výhybiek</v>
      </c>
      <c r="D88" s="548">
        <f t="shared" si="83"/>
        <v>2</v>
      </c>
      <c r="E88" s="638">
        <f t="shared" si="84"/>
        <v>1750.47</v>
      </c>
      <c r="F88" s="639">
        <f t="shared" si="61"/>
        <v>42011.28</v>
      </c>
      <c r="G88" s="546">
        <f t="shared" si="85"/>
        <v>2</v>
      </c>
      <c r="H88" s="650">
        <f t="shared" si="86"/>
        <v>1750.47</v>
      </c>
      <c r="I88" s="641">
        <f t="shared" si="64"/>
        <v>42011.28</v>
      </c>
      <c r="J88" s="546">
        <f t="shared" si="87"/>
        <v>6</v>
      </c>
      <c r="K88" s="650">
        <f t="shared" si="88"/>
        <v>1750.47</v>
      </c>
      <c r="L88" s="641">
        <f t="shared" si="67"/>
        <v>126033.84</v>
      </c>
    </row>
    <row r="89" spans="2:12" ht="15.75" thickBot="1">
      <c r="B89" s="945"/>
      <c r="C89" s="660" t="str">
        <f t="shared" si="82"/>
        <v>Robotník v doprave</v>
      </c>
      <c r="D89" s="549">
        <f t="shared" si="83"/>
        <v>1</v>
      </c>
      <c r="E89" s="556">
        <f t="shared" si="84"/>
        <v>1242.1099999999999</v>
      </c>
      <c r="F89" s="643">
        <f t="shared" si="61"/>
        <v>14905.32</v>
      </c>
      <c r="G89" s="547">
        <f t="shared" si="85"/>
        <v>1</v>
      </c>
      <c r="H89" s="652">
        <f t="shared" si="86"/>
        <v>1242.1099999999999</v>
      </c>
      <c r="I89" s="557">
        <f t="shared" si="64"/>
        <v>14905.32</v>
      </c>
      <c r="J89" s="629">
        <f t="shared" si="87"/>
        <v>1</v>
      </c>
      <c r="K89" s="656">
        <f t="shared" si="88"/>
        <v>1242.1099999999999</v>
      </c>
      <c r="L89" s="647">
        <f t="shared" si="67"/>
        <v>14905.32</v>
      </c>
    </row>
    <row r="90" spans="2:12">
      <c r="B90" s="944" t="str">
        <f>B150</f>
        <v>NŽST Čierne nad Topľou</v>
      </c>
      <c r="C90" s="661" t="str">
        <f>E151</f>
        <v>Výpravca</v>
      </c>
      <c r="D90" s="545">
        <f>G151</f>
        <v>3</v>
      </c>
      <c r="E90" s="554">
        <f>F151</f>
        <v>1795.68</v>
      </c>
      <c r="F90" s="635">
        <f t="shared" si="61"/>
        <v>64644.479999999996</v>
      </c>
      <c r="G90" s="545">
        <f>G151</f>
        <v>3</v>
      </c>
      <c r="H90" s="554">
        <f>F151</f>
        <v>1795.68</v>
      </c>
      <c r="I90" s="555">
        <f t="shared" si="64"/>
        <v>64644.479999999996</v>
      </c>
      <c r="J90" s="545">
        <f>K151</f>
        <v>0</v>
      </c>
      <c r="K90" s="554">
        <f>F151</f>
        <v>1795.68</v>
      </c>
      <c r="L90" s="555">
        <f t="shared" si="67"/>
        <v>0</v>
      </c>
    </row>
    <row r="91" spans="2:12" ht="15.75" thickBot="1">
      <c r="B91" s="945"/>
      <c r="C91" s="662" t="str">
        <f>E152</f>
        <v>Dozorca výhybiek</v>
      </c>
      <c r="D91" s="547">
        <f>G152</f>
        <v>8</v>
      </c>
      <c r="E91" s="556">
        <f>F152</f>
        <v>1723.21</v>
      </c>
      <c r="F91" s="643">
        <f t="shared" si="61"/>
        <v>165428.16</v>
      </c>
      <c r="G91" s="549">
        <f>G152</f>
        <v>8</v>
      </c>
      <c r="H91" s="556">
        <f>F152</f>
        <v>1723.21</v>
      </c>
      <c r="I91" s="557">
        <f t="shared" si="64"/>
        <v>165428.16</v>
      </c>
      <c r="J91" s="629">
        <f>K152</f>
        <v>2</v>
      </c>
      <c r="K91" s="646">
        <f>F152</f>
        <v>1723.21</v>
      </c>
      <c r="L91" s="647">
        <f t="shared" si="67"/>
        <v>41357.040000000001</v>
      </c>
    </row>
    <row r="92" spans="2:12">
      <c r="B92" s="944" t="str">
        <f>B154</f>
        <v>NŽST Hanušovce nad Topľou</v>
      </c>
      <c r="C92" s="658" t="str">
        <f>E155</f>
        <v>Výpravca</v>
      </c>
      <c r="D92" s="545">
        <f>G155</f>
        <v>2</v>
      </c>
      <c r="E92" s="554">
        <f>F155</f>
        <v>2291.6</v>
      </c>
      <c r="F92" s="635">
        <f t="shared" si="61"/>
        <v>54998.399999999994</v>
      </c>
      <c r="G92" s="545">
        <f>G155</f>
        <v>2</v>
      </c>
      <c r="H92" s="554">
        <f>F155</f>
        <v>2291.6</v>
      </c>
      <c r="I92" s="555">
        <f t="shared" si="64"/>
        <v>54998.399999999994</v>
      </c>
      <c r="J92" s="545">
        <f>K155</f>
        <v>0</v>
      </c>
      <c r="K92" s="554">
        <f>F155</f>
        <v>2291.6</v>
      </c>
      <c r="L92" s="555">
        <f t="shared" si="67"/>
        <v>0</v>
      </c>
    </row>
    <row r="93" spans="2:12" ht="15.75" thickBot="1">
      <c r="B93" s="945"/>
      <c r="C93" s="660" t="str">
        <f>E156</f>
        <v>Dozorca výhybiek</v>
      </c>
      <c r="D93" s="549">
        <f>G156</f>
        <v>5</v>
      </c>
      <c r="E93" s="556">
        <f>F156</f>
        <v>1679.9</v>
      </c>
      <c r="F93" s="643">
        <f t="shared" si="61"/>
        <v>100794</v>
      </c>
      <c r="G93" s="547">
        <f>G156</f>
        <v>5</v>
      </c>
      <c r="H93" s="556">
        <f>F156</f>
        <v>1679.9</v>
      </c>
      <c r="I93" s="557">
        <f t="shared" si="64"/>
        <v>100794</v>
      </c>
      <c r="J93" s="629">
        <f>K156</f>
        <v>3</v>
      </c>
      <c r="K93" s="646">
        <f>F156</f>
        <v>1679.9</v>
      </c>
      <c r="L93" s="647">
        <f t="shared" si="67"/>
        <v>60476.400000000009</v>
      </c>
    </row>
    <row r="94" spans="2:12">
      <c r="B94" s="944" t="str">
        <f>B158</f>
        <v>NŽST Lipníky</v>
      </c>
      <c r="C94" s="661" t="str">
        <f>E159</f>
        <v>Výpravca</v>
      </c>
      <c r="D94" s="545">
        <f>G159</f>
        <v>5</v>
      </c>
      <c r="E94" s="554">
        <f>F159</f>
        <v>1931.44</v>
      </c>
      <c r="F94" s="635">
        <f t="shared" si="61"/>
        <v>115886.40000000001</v>
      </c>
      <c r="G94" s="550">
        <f>G159</f>
        <v>5</v>
      </c>
      <c r="H94" s="554">
        <f>F159</f>
        <v>1931.44</v>
      </c>
      <c r="I94" s="555">
        <f t="shared" si="64"/>
        <v>115886.40000000001</v>
      </c>
      <c r="J94" s="550">
        <f>K159</f>
        <v>0</v>
      </c>
      <c r="K94" s="554">
        <f>F159</f>
        <v>1931.44</v>
      </c>
      <c r="L94" s="555">
        <f t="shared" si="67"/>
        <v>0</v>
      </c>
    </row>
    <row r="95" spans="2:12" ht="15.75" thickBot="1">
      <c r="B95" s="945"/>
      <c r="C95" s="662" t="str">
        <f>E160</f>
        <v>Dozorca výhybiek</v>
      </c>
      <c r="D95" s="629">
        <f>G160</f>
        <v>0</v>
      </c>
      <c r="E95" s="646">
        <f>F160</f>
        <v>1723.21</v>
      </c>
      <c r="F95" s="657">
        <f t="shared" si="61"/>
        <v>0</v>
      </c>
      <c r="G95" s="663">
        <f>G160</f>
        <v>0</v>
      </c>
      <c r="H95" s="556">
        <f>F160</f>
        <v>1723.21</v>
      </c>
      <c r="I95" s="557">
        <f t="shared" si="64"/>
        <v>0</v>
      </c>
      <c r="J95" s="552">
        <f>K160</f>
        <v>2</v>
      </c>
      <c r="K95" s="556">
        <f>F160</f>
        <v>1723.21</v>
      </c>
      <c r="L95" s="557">
        <f t="shared" si="67"/>
        <v>41357.040000000001</v>
      </c>
    </row>
    <row r="96" spans="2:12">
      <c r="B96" s="944" t="str">
        <f>B162</f>
        <v>NŽST Nižný Hrabovec</v>
      </c>
      <c r="C96" s="661" t="str">
        <f>E163</f>
        <v>Výpravca</v>
      </c>
      <c r="D96" s="545">
        <f>G163</f>
        <v>5</v>
      </c>
      <c r="E96" s="554">
        <f>F163</f>
        <v>1970.34</v>
      </c>
      <c r="F96" s="635">
        <f t="shared" si="61"/>
        <v>118220.4</v>
      </c>
      <c r="G96" s="545">
        <f>G163</f>
        <v>5</v>
      </c>
      <c r="H96" s="635">
        <f>F163</f>
        <v>1970.34</v>
      </c>
      <c r="I96" s="555">
        <f t="shared" si="64"/>
        <v>118220.4</v>
      </c>
      <c r="J96" s="545">
        <f>K163</f>
        <v>0</v>
      </c>
      <c r="K96" s="554">
        <f>F163</f>
        <v>1970.34</v>
      </c>
      <c r="L96" s="555">
        <f t="shared" si="67"/>
        <v>0</v>
      </c>
    </row>
    <row r="97" spans="2:12" ht="15.75" thickBot="1">
      <c r="B97" s="945"/>
      <c r="C97" s="662" t="str">
        <f>E164</f>
        <v>Dozorca výhybiek</v>
      </c>
      <c r="D97" s="629">
        <f>G164</f>
        <v>11</v>
      </c>
      <c r="E97" s="657">
        <f>F164</f>
        <v>1783.79</v>
      </c>
      <c r="F97" s="643">
        <f t="shared" si="61"/>
        <v>235460.27999999997</v>
      </c>
      <c r="G97" s="547">
        <f>G164</f>
        <v>11</v>
      </c>
      <c r="H97" s="643">
        <f>F164</f>
        <v>1783.79</v>
      </c>
      <c r="I97" s="557">
        <f t="shared" si="64"/>
        <v>235460.27999999997</v>
      </c>
      <c r="J97" s="547">
        <f>K164</f>
        <v>2</v>
      </c>
      <c r="K97" s="556">
        <f>F164</f>
        <v>1783.79</v>
      </c>
      <c r="L97" s="557">
        <f t="shared" si="67"/>
        <v>42810.96</v>
      </c>
    </row>
    <row r="98" spans="2:12">
      <c r="B98" s="946" t="s">
        <v>834</v>
      </c>
      <c r="C98" s="661" t="s">
        <v>619</v>
      </c>
      <c r="D98" s="545">
        <f>G167</f>
        <v>6</v>
      </c>
      <c r="E98" s="554">
        <f>F167</f>
        <v>2150.7233333333334</v>
      </c>
      <c r="F98" s="555">
        <f t="shared" si="61"/>
        <v>154852.08000000002</v>
      </c>
      <c r="G98" s="545">
        <f>G167</f>
        <v>6</v>
      </c>
      <c r="H98" s="554">
        <f>F167</f>
        <v>2150.7233333333334</v>
      </c>
      <c r="I98" s="555">
        <f t="shared" si="64"/>
        <v>154852.08000000002</v>
      </c>
      <c r="J98" s="545">
        <f>K167</f>
        <v>6</v>
      </c>
      <c r="K98" s="554">
        <f>F167</f>
        <v>2150.7233333333334</v>
      </c>
      <c r="L98" s="555">
        <f t="shared" si="67"/>
        <v>154852.08000000002</v>
      </c>
    </row>
    <row r="99" spans="2:12" ht="15.75" thickBot="1">
      <c r="B99" s="947"/>
      <c r="C99" s="664" t="s">
        <v>647</v>
      </c>
      <c r="D99" s="547">
        <f>G168</f>
        <v>1</v>
      </c>
      <c r="E99" s="556">
        <f>F168</f>
        <v>1744.36</v>
      </c>
      <c r="F99" s="557">
        <f t="shared" si="61"/>
        <v>20932.32</v>
      </c>
      <c r="G99" s="549">
        <f>G168</f>
        <v>1</v>
      </c>
      <c r="H99" s="556">
        <f t="shared" ref="H99" si="89">F168</f>
        <v>1744.36</v>
      </c>
      <c r="I99" s="557">
        <f t="shared" si="64"/>
        <v>20932.32</v>
      </c>
      <c r="J99" s="547">
        <f>K168</f>
        <v>1</v>
      </c>
      <c r="K99" s="556">
        <f>F168</f>
        <v>1744.36</v>
      </c>
      <c r="L99" s="557">
        <f t="shared" si="67"/>
        <v>20932.32</v>
      </c>
    </row>
    <row r="100" spans="2:12" ht="15.75" thickBot="1">
      <c r="B100" s="558" t="s">
        <v>835</v>
      </c>
      <c r="C100" s="665" t="s">
        <v>647</v>
      </c>
      <c r="D100" s="666">
        <f>G171</f>
        <v>0</v>
      </c>
      <c r="E100" s="560">
        <f>F171</f>
        <v>1744.36</v>
      </c>
      <c r="F100" s="561">
        <f t="shared" si="61"/>
        <v>0</v>
      </c>
      <c r="G100" s="559">
        <f>K171</f>
        <v>0</v>
      </c>
      <c r="H100" s="560">
        <f>F171</f>
        <v>1744.36</v>
      </c>
      <c r="I100" s="667">
        <f t="shared" si="64"/>
        <v>0</v>
      </c>
      <c r="J100" s="549">
        <f>K171</f>
        <v>0</v>
      </c>
      <c r="K100" s="644">
        <f>F171</f>
        <v>1744.36</v>
      </c>
      <c r="L100" s="668">
        <f t="shared" si="67"/>
        <v>0</v>
      </c>
    </row>
    <row r="101" spans="2:12" ht="40.5" customHeight="1" thickBot="1">
      <c r="B101" s="948" t="s">
        <v>602</v>
      </c>
      <c r="C101" s="949"/>
      <c r="D101" s="669">
        <f>SUM(D58:D100)</f>
        <v>162</v>
      </c>
      <c r="E101" s="670"/>
      <c r="F101" s="671">
        <f>SUM(F58:F100)/Parametre!$C$26</f>
        <v>4324433.0812059082</v>
      </c>
      <c r="G101" s="669">
        <f>SUM(G58:G100)</f>
        <v>145</v>
      </c>
      <c r="H101" s="670"/>
      <c r="I101" s="671">
        <f>SUM(I58:I100)/Parametre!$C$26</f>
        <v>3878030.7779405904</v>
      </c>
      <c r="J101" s="669">
        <f>SUM(J58:J100)</f>
        <v>99</v>
      </c>
      <c r="K101" s="670"/>
      <c r="L101" s="671">
        <f>SUM(L58:L100)/Parametre!$C$26</f>
        <v>2662700.023279421</v>
      </c>
    </row>
    <row r="102" spans="2:12">
      <c r="I102" s="368"/>
    </row>
    <row r="103" spans="2:12">
      <c r="G103" s="369"/>
      <c r="H103" s="370"/>
      <c r="J103" s="625"/>
    </row>
    <row r="104" spans="2:12">
      <c r="K104" s="587"/>
    </row>
    <row r="105" spans="2:12">
      <c r="G105" s="465"/>
      <c r="K105" s="587"/>
    </row>
    <row r="107" spans="2:12" ht="30">
      <c r="B107" s="371" t="s">
        <v>608</v>
      </c>
      <c r="C107" s="371" t="s">
        <v>609</v>
      </c>
      <c r="D107" s="371" t="s">
        <v>610</v>
      </c>
      <c r="E107" s="371" t="s">
        <v>611</v>
      </c>
      <c r="F107" s="372" t="s">
        <v>612</v>
      </c>
      <c r="G107" s="371" t="s">
        <v>613</v>
      </c>
      <c r="H107" s="371" t="s">
        <v>614</v>
      </c>
      <c r="I107" s="371" t="s">
        <v>615</v>
      </c>
      <c r="J107" s="373" t="s">
        <v>616</v>
      </c>
      <c r="K107" s="588" t="s">
        <v>832</v>
      </c>
      <c r="L107" s="589" t="s">
        <v>833</v>
      </c>
    </row>
    <row r="108" spans="2:12">
      <c r="B108" s="374" t="s">
        <v>617</v>
      </c>
      <c r="C108" s="374"/>
      <c r="D108" s="374"/>
      <c r="E108" s="374"/>
      <c r="F108" s="375"/>
      <c r="G108" s="374"/>
      <c r="H108" s="374"/>
      <c r="I108" s="374"/>
      <c r="J108" s="376"/>
      <c r="K108" s="590"/>
    </row>
    <row r="109" spans="2:12">
      <c r="B109" s="374"/>
      <c r="C109" s="374">
        <v>31190015</v>
      </c>
      <c r="D109" s="374" t="s">
        <v>618</v>
      </c>
      <c r="E109" s="374" t="s">
        <v>619</v>
      </c>
      <c r="F109" s="375">
        <v>2379.77</v>
      </c>
      <c r="G109" s="374">
        <v>6</v>
      </c>
      <c r="H109" s="374">
        <v>6</v>
      </c>
      <c r="I109" s="374">
        <v>0</v>
      </c>
      <c r="J109" s="376">
        <v>6</v>
      </c>
      <c r="K109" s="590">
        <v>6</v>
      </c>
      <c r="L109" s="377">
        <v>6</v>
      </c>
    </row>
    <row r="110" spans="2:12">
      <c r="B110" s="374"/>
      <c r="C110" s="374">
        <v>83120012</v>
      </c>
      <c r="D110" s="374" t="s">
        <v>620</v>
      </c>
      <c r="E110" s="374" t="s">
        <v>621</v>
      </c>
      <c r="F110" s="375">
        <v>1889.21</v>
      </c>
      <c r="G110" s="374">
        <v>11</v>
      </c>
      <c r="H110" s="374">
        <v>11</v>
      </c>
      <c r="I110" s="374">
        <v>0</v>
      </c>
      <c r="J110" s="376">
        <v>11</v>
      </c>
      <c r="K110" s="590">
        <v>11</v>
      </c>
      <c r="L110" s="377">
        <v>11</v>
      </c>
    </row>
    <row r="111" spans="2:12">
      <c r="B111" s="374"/>
      <c r="C111" s="374">
        <v>93330010</v>
      </c>
      <c r="D111" s="374" t="s">
        <v>622</v>
      </c>
      <c r="E111" s="374" t="s">
        <v>623</v>
      </c>
      <c r="F111" s="375">
        <v>1340.15</v>
      </c>
      <c r="G111" s="374">
        <v>2</v>
      </c>
      <c r="H111" s="374">
        <v>2</v>
      </c>
      <c r="I111" s="374">
        <v>0</v>
      </c>
      <c r="J111" s="376">
        <v>2</v>
      </c>
      <c r="K111" s="590">
        <v>2</v>
      </c>
      <c r="L111" s="377">
        <v>2</v>
      </c>
    </row>
    <row r="112" spans="2:12" ht="15.75">
      <c r="B112" s="378" t="s">
        <v>624</v>
      </c>
      <c r="C112" s="378"/>
      <c r="D112" s="378"/>
      <c r="E112" s="378"/>
      <c r="F112" s="379">
        <f>SUM(F109:F111)</f>
        <v>5609.1299999999992</v>
      </c>
      <c r="G112" s="378">
        <v>19</v>
      </c>
      <c r="H112" s="378"/>
      <c r="I112" s="378"/>
      <c r="J112" s="380"/>
      <c r="K112" s="591"/>
      <c r="L112" s="377"/>
    </row>
    <row r="113" spans="2:12">
      <c r="B113" s="374" t="s">
        <v>625</v>
      </c>
      <c r="C113" s="374"/>
      <c r="D113" s="374"/>
      <c r="E113" s="374"/>
      <c r="F113" s="375"/>
      <c r="G113" s="374"/>
      <c r="H113" s="374"/>
      <c r="I113" s="374"/>
      <c r="J113" s="376"/>
      <c r="K113" s="590"/>
      <c r="L113" s="377"/>
    </row>
    <row r="114" spans="2:12">
      <c r="B114" s="374"/>
      <c r="C114" s="374">
        <v>21490100</v>
      </c>
      <c r="D114" s="374" t="s">
        <v>626</v>
      </c>
      <c r="E114" s="374" t="s">
        <v>627</v>
      </c>
      <c r="F114" s="375">
        <v>2842.57</v>
      </c>
      <c r="G114" s="374">
        <v>1</v>
      </c>
      <c r="H114" s="374">
        <v>1</v>
      </c>
      <c r="I114" s="374">
        <v>0</v>
      </c>
      <c r="J114" s="376">
        <v>1</v>
      </c>
      <c r="K114" s="590">
        <v>1</v>
      </c>
      <c r="L114" s="377">
        <v>1</v>
      </c>
    </row>
    <row r="115" spans="2:12">
      <c r="B115" s="374"/>
      <c r="C115" s="374">
        <v>21490101</v>
      </c>
      <c r="D115" s="374" t="s">
        <v>628</v>
      </c>
      <c r="E115" s="374" t="s">
        <v>629</v>
      </c>
      <c r="F115" s="375">
        <v>2512</v>
      </c>
      <c r="G115" s="374">
        <v>1</v>
      </c>
      <c r="H115" s="374">
        <v>1</v>
      </c>
      <c r="I115" s="374">
        <v>0</v>
      </c>
      <c r="J115" s="376">
        <v>1</v>
      </c>
      <c r="K115" s="590">
        <v>1</v>
      </c>
      <c r="L115" s="377">
        <v>1</v>
      </c>
    </row>
    <row r="116" spans="2:12">
      <c r="B116" s="374"/>
      <c r="C116" s="374">
        <v>21490103</v>
      </c>
      <c r="D116" s="374" t="s">
        <v>630</v>
      </c>
      <c r="E116" s="374" t="s">
        <v>631</v>
      </c>
      <c r="F116" s="375">
        <v>2346.35</v>
      </c>
      <c r="G116" s="374">
        <v>1</v>
      </c>
      <c r="H116" s="374">
        <v>1</v>
      </c>
      <c r="I116" s="374">
        <v>0</v>
      </c>
      <c r="J116" s="376">
        <v>1</v>
      </c>
      <c r="K116" s="590">
        <v>1</v>
      </c>
      <c r="L116" s="377">
        <v>1</v>
      </c>
    </row>
    <row r="117" spans="2:12">
      <c r="B117" s="374"/>
      <c r="C117" s="374">
        <v>31190015</v>
      </c>
      <c r="D117" s="374" t="s">
        <v>632</v>
      </c>
      <c r="E117" s="374" t="s">
        <v>619</v>
      </c>
      <c r="F117" s="375">
        <v>2270.9699999999998</v>
      </c>
      <c r="G117" s="374">
        <v>7</v>
      </c>
      <c r="H117" s="374">
        <v>7</v>
      </c>
      <c r="I117" s="374">
        <v>0</v>
      </c>
      <c r="J117" s="376">
        <v>7</v>
      </c>
      <c r="K117" s="590">
        <v>12</v>
      </c>
      <c r="L117" s="377">
        <v>12</v>
      </c>
    </row>
    <row r="118" spans="2:12">
      <c r="B118" s="374"/>
      <c r="C118" s="374">
        <v>31190015</v>
      </c>
      <c r="D118" s="374" t="s">
        <v>618</v>
      </c>
      <c r="E118" s="374" t="s">
        <v>619</v>
      </c>
      <c r="F118" s="375">
        <v>2206.38</v>
      </c>
      <c r="G118" s="374">
        <v>10</v>
      </c>
      <c r="H118" s="374">
        <v>10</v>
      </c>
      <c r="I118" s="374">
        <v>0</v>
      </c>
      <c r="J118" s="376">
        <v>10</v>
      </c>
      <c r="K118" s="590">
        <v>10</v>
      </c>
      <c r="L118" s="377">
        <v>10</v>
      </c>
    </row>
    <row r="119" spans="2:12">
      <c r="B119" s="374"/>
      <c r="C119" s="374">
        <v>31190016</v>
      </c>
      <c r="D119" s="374" t="s">
        <v>632</v>
      </c>
      <c r="E119" s="374" t="s">
        <v>633</v>
      </c>
      <c r="F119" s="375">
        <v>1821.77</v>
      </c>
      <c r="G119" s="374">
        <v>1</v>
      </c>
      <c r="H119" s="374">
        <v>1</v>
      </c>
      <c r="I119" s="374">
        <v>0</v>
      </c>
      <c r="J119" s="376">
        <v>1</v>
      </c>
      <c r="K119" s="590">
        <v>1</v>
      </c>
      <c r="L119" s="377">
        <v>1</v>
      </c>
    </row>
    <row r="120" spans="2:12">
      <c r="B120" s="374"/>
      <c r="C120" s="374">
        <v>31190019</v>
      </c>
      <c r="D120" s="374" t="s">
        <v>634</v>
      </c>
      <c r="E120" s="374" t="s">
        <v>635</v>
      </c>
      <c r="F120" s="375">
        <v>1572.46</v>
      </c>
      <c r="G120" s="374">
        <v>1</v>
      </c>
      <c r="H120" s="374">
        <v>1</v>
      </c>
      <c r="I120" s="374">
        <v>0</v>
      </c>
      <c r="J120" s="376">
        <v>1</v>
      </c>
      <c r="K120" s="590">
        <v>1</v>
      </c>
      <c r="L120" s="377">
        <v>1</v>
      </c>
    </row>
    <row r="121" spans="2:12">
      <c r="B121" s="374"/>
      <c r="C121" s="374">
        <v>31190026</v>
      </c>
      <c r="D121" s="374" t="s">
        <v>636</v>
      </c>
      <c r="E121" s="374" t="s">
        <v>637</v>
      </c>
      <c r="F121" s="375">
        <v>1490.69</v>
      </c>
      <c r="G121" s="374">
        <v>1</v>
      </c>
      <c r="H121" s="374">
        <v>1</v>
      </c>
      <c r="I121" s="374">
        <v>0</v>
      </c>
      <c r="J121" s="376">
        <v>1</v>
      </c>
      <c r="K121" s="590">
        <v>1</v>
      </c>
      <c r="L121" s="377">
        <v>1</v>
      </c>
    </row>
    <row r="122" spans="2:12">
      <c r="B122" s="374"/>
      <c r="C122" s="374">
        <v>31190037</v>
      </c>
      <c r="D122" s="374" t="s">
        <v>618</v>
      </c>
      <c r="E122" s="374" t="s">
        <v>638</v>
      </c>
      <c r="F122" s="375">
        <v>1672.02</v>
      </c>
      <c r="G122" s="374">
        <v>1</v>
      </c>
      <c r="H122" s="374">
        <v>1</v>
      </c>
      <c r="I122" s="374">
        <v>0</v>
      </c>
      <c r="J122" s="376">
        <v>1</v>
      </c>
      <c r="K122" s="590">
        <v>1</v>
      </c>
      <c r="L122" s="377">
        <v>1</v>
      </c>
    </row>
    <row r="123" spans="2:12">
      <c r="B123" s="374"/>
      <c r="C123" s="374">
        <v>33590031</v>
      </c>
      <c r="D123" s="374" t="s">
        <v>620</v>
      </c>
      <c r="E123" s="374" t="s">
        <v>639</v>
      </c>
      <c r="F123" s="375">
        <v>1280.08</v>
      </c>
      <c r="G123" s="374">
        <v>1</v>
      </c>
      <c r="H123" s="374">
        <v>1</v>
      </c>
      <c r="I123" s="374">
        <v>0</v>
      </c>
      <c r="J123" s="376">
        <v>1</v>
      </c>
      <c r="K123" s="590">
        <v>1</v>
      </c>
      <c r="L123" s="377">
        <v>1</v>
      </c>
    </row>
    <row r="124" spans="2:12">
      <c r="B124" s="374"/>
      <c r="C124" s="374">
        <v>41100004</v>
      </c>
      <c r="D124" s="374" t="s">
        <v>620</v>
      </c>
      <c r="E124" s="374" t="s">
        <v>640</v>
      </c>
      <c r="F124" s="375">
        <v>1452.89</v>
      </c>
      <c r="G124" s="374">
        <v>1</v>
      </c>
      <c r="H124" s="374">
        <v>1</v>
      </c>
      <c r="I124" s="374">
        <v>0</v>
      </c>
      <c r="J124" s="376">
        <v>1</v>
      </c>
      <c r="K124" s="590">
        <v>1</v>
      </c>
      <c r="L124" s="377">
        <v>1</v>
      </c>
    </row>
    <row r="125" spans="2:12">
      <c r="B125" s="374"/>
      <c r="C125" s="374">
        <v>43230011</v>
      </c>
      <c r="D125" s="374" t="s">
        <v>641</v>
      </c>
      <c r="E125" s="374" t="s">
        <v>642</v>
      </c>
      <c r="F125" s="375">
        <v>1524.32</v>
      </c>
      <c r="G125" s="374">
        <v>3</v>
      </c>
      <c r="H125" s="374">
        <v>3</v>
      </c>
      <c r="I125" s="374">
        <v>0</v>
      </c>
      <c r="J125" s="376">
        <v>3</v>
      </c>
      <c r="K125" s="590">
        <v>5</v>
      </c>
      <c r="L125" s="377">
        <v>5</v>
      </c>
    </row>
    <row r="126" spans="2:12">
      <c r="B126" s="374"/>
      <c r="C126" s="374">
        <v>72220021</v>
      </c>
      <c r="D126" s="374" t="s">
        <v>643</v>
      </c>
      <c r="E126" s="374" t="s">
        <v>644</v>
      </c>
      <c r="F126" s="375">
        <v>1232.42</v>
      </c>
      <c r="G126" s="374">
        <v>1</v>
      </c>
      <c r="H126" s="374">
        <v>1</v>
      </c>
      <c r="I126" s="374">
        <v>0</v>
      </c>
      <c r="J126" s="376">
        <v>1</v>
      </c>
      <c r="K126" s="590">
        <v>1</v>
      </c>
      <c r="L126" s="377">
        <v>1</v>
      </c>
    </row>
    <row r="127" spans="2:12">
      <c r="B127" s="374"/>
      <c r="C127" s="374">
        <v>83120012</v>
      </c>
      <c r="D127" s="374" t="s">
        <v>620</v>
      </c>
      <c r="E127" s="374" t="s">
        <v>621</v>
      </c>
      <c r="F127" s="375">
        <v>1922.19</v>
      </c>
      <c r="G127" s="374">
        <v>5</v>
      </c>
      <c r="H127" s="374">
        <v>5</v>
      </c>
      <c r="I127" s="374">
        <v>0</v>
      </c>
      <c r="J127" s="376">
        <v>5</v>
      </c>
      <c r="K127" s="590">
        <v>5</v>
      </c>
      <c r="L127" s="377">
        <v>5</v>
      </c>
    </row>
    <row r="128" spans="2:12">
      <c r="B128" s="374"/>
      <c r="C128" s="374">
        <v>93330010</v>
      </c>
      <c r="D128" s="374" t="s">
        <v>622</v>
      </c>
      <c r="E128" s="374" t="s">
        <v>623</v>
      </c>
      <c r="F128" s="375">
        <v>1561.05</v>
      </c>
      <c r="G128" s="374">
        <v>5</v>
      </c>
      <c r="H128" s="374">
        <v>5</v>
      </c>
      <c r="I128" s="374">
        <v>0</v>
      </c>
      <c r="J128" s="376">
        <v>5</v>
      </c>
      <c r="K128" s="590">
        <v>5</v>
      </c>
      <c r="L128" s="377">
        <v>5</v>
      </c>
    </row>
    <row r="129" spans="2:12" ht="15.75">
      <c r="B129" s="378" t="s">
        <v>624</v>
      </c>
      <c r="C129" s="378"/>
      <c r="D129" s="378"/>
      <c r="E129" s="378"/>
      <c r="F129" s="379">
        <f>SUM(F114:F128)</f>
        <v>27708.159999999996</v>
      </c>
      <c r="G129" s="378">
        <v>40</v>
      </c>
      <c r="H129" s="378"/>
      <c r="I129" s="378"/>
      <c r="J129" s="380"/>
      <c r="K129" s="591"/>
      <c r="L129" s="377"/>
    </row>
    <row r="130" spans="2:12">
      <c r="B130" s="374" t="s">
        <v>645</v>
      </c>
      <c r="C130" s="374"/>
      <c r="D130" s="374"/>
      <c r="E130" s="374"/>
      <c r="F130" s="375"/>
      <c r="G130" s="374"/>
      <c r="H130" s="374"/>
      <c r="I130" s="374"/>
      <c r="J130" s="376"/>
      <c r="K130" s="590"/>
      <c r="L130" s="377"/>
    </row>
    <row r="131" spans="2:12">
      <c r="B131" s="374"/>
      <c r="C131" s="374">
        <v>31190015</v>
      </c>
      <c r="D131" s="374" t="s">
        <v>632</v>
      </c>
      <c r="E131" s="374" t="s">
        <v>619</v>
      </c>
      <c r="F131" s="375">
        <v>2270.9699999999998</v>
      </c>
      <c r="G131" s="374">
        <v>1</v>
      </c>
      <c r="H131" s="374">
        <v>1</v>
      </c>
      <c r="I131" s="374">
        <v>0</v>
      </c>
      <c r="J131" s="376">
        <v>1</v>
      </c>
      <c r="K131" s="590">
        <v>0</v>
      </c>
      <c r="L131" s="377">
        <v>0</v>
      </c>
    </row>
    <row r="132" spans="2:12">
      <c r="B132" s="374"/>
      <c r="C132" s="374">
        <v>31190015</v>
      </c>
      <c r="D132" s="374" t="s">
        <v>634</v>
      </c>
      <c r="E132" s="374" t="s">
        <v>619</v>
      </c>
      <c r="F132" s="375">
        <v>1946.53</v>
      </c>
      <c r="G132" s="374">
        <v>5</v>
      </c>
      <c r="H132" s="374">
        <v>5</v>
      </c>
      <c r="I132" s="374">
        <v>0</v>
      </c>
      <c r="J132" s="376">
        <v>5</v>
      </c>
      <c r="K132" s="590">
        <v>0</v>
      </c>
      <c r="L132" s="377">
        <v>0</v>
      </c>
    </row>
    <row r="133" spans="2:12">
      <c r="B133" s="374"/>
      <c r="C133" s="374">
        <v>83120014</v>
      </c>
      <c r="D133" s="374" t="s">
        <v>646</v>
      </c>
      <c r="E133" s="374" t="s">
        <v>647</v>
      </c>
      <c r="F133" s="375">
        <v>1784.43</v>
      </c>
      <c r="G133" s="374">
        <v>10</v>
      </c>
      <c r="H133" s="374">
        <v>8</v>
      </c>
      <c r="I133" s="374">
        <v>-2</v>
      </c>
      <c r="J133" s="376">
        <v>2</v>
      </c>
      <c r="K133" s="590">
        <v>2</v>
      </c>
      <c r="L133" s="377">
        <v>2</v>
      </c>
    </row>
    <row r="134" spans="2:12" ht="15.75">
      <c r="B134" s="378" t="s">
        <v>624</v>
      </c>
      <c r="C134" s="378"/>
      <c r="D134" s="378"/>
      <c r="E134" s="378"/>
      <c r="F134" s="379">
        <f>SUM(F131:F133)</f>
        <v>6001.93</v>
      </c>
      <c r="G134" s="378">
        <v>16</v>
      </c>
      <c r="H134" s="378"/>
      <c r="I134" s="378"/>
      <c r="J134" s="380"/>
      <c r="K134" s="591"/>
      <c r="L134" s="377"/>
    </row>
    <row r="135" spans="2:12">
      <c r="B135" s="374" t="s">
        <v>648</v>
      </c>
      <c r="C135" s="374"/>
      <c r="D135" s="374"/>
      <c r="E135" s="374"/>
      <c r="F135" s="375"/>
      <c r="G135" s="374"/>
      <c r="H135" s="374"/>
      <c r="I135" s="374"/>
      <c r="J135" s="376"/>
      <c r="K135" s="590"/>
      <c r="L135" s="377"/>
    </row>
    <row r="136" spans="2:12">
      <c r="B136" s="374"/>
      <c r="C136" s="374">
        <v>31190015</v>
      </c>
      <c r="D136" s="374" t="s">
        <v>618</v>
      </c>
      <c r="E136" s="374" t="s">
        <v>619</v>
      </c>
      <c r="F136" s="375">
        <v>2360.2800000000002</v>
      </c>
      <c r="G136" s="374">
        <v>6</v>
      </c>
      <c r="H136" s="374">
        <v>5</v>
      </c>
      <c r="I136" s="374">
        <v>-1</v>
      </c>
      <c r="J136" s="376">
        <v>6</v>
      </c>
      <c r="K136" s="590">
        <v>2</v>
      </c>
      <c r="L136" s="377">
        <v>0</v>
      </c>
    </row>
    <row r="137" spans="2:12">
      <c r="B137" s="374"/>
      <c r="C137" s="374">
        <v>83120012</v>
      </c>
      <c r="D137" s="374" t="s">
        <v>646</v>
      </c>
      <c r="E137" s="374" t="s">
        <v>621</v>
      </c>
      <c r="F137" s="375">
        <v>1807.96</v>
      </c>
      <c r="G137" s="374">
        <v>11</v>
      </c>
      <c r="H137" s="374">
        <v>9</v>
      </c>
      <c r="I137" s="374">
        <v>-2</v>
      </c>
      <c r="J137" s="376">
        <v>5</v>
      </c>
      <c r="K137" s="590">
        <v>5</v>
      </c>
      <c r="L137" s="377">
        <v>5</v>
      </c>
    </row>
    <row r="138" spans="2:12" ht="15.75">
      <c r="B138" s="378" t="s">
        <v>624</v>
      </c>
      <c r="C138" s="378"/>
      <c r="D138" s="378"/>
      <c r="E138" s="378"/>
      <c r="F138" s="379">
        <f>SUM(F136:F137)</f>
        <v>4168.24</v>
      </c>
      <c r="G138" s="378">
        <v>17</v>
      </c>
      <c r="H138" s="378"/>
      <c r="I138" s="378"/>
      <c r="J138" s="380"/>
      <c r="K138" s="591"/>
      <c r="L138" s="377"/>
    </row>
    <row r="139" spans="2:12">
      <c r="B139" s="374" t="s">
        <v>649</v>
      </c>
      <c r="C139" s="374"/>
      <c r="D139" s="374"/>
      <c r="E139" s="374"/>
      <c r="F139" s="375"/>
      <c r="G139" s="374"/>
      <c r="H139" s="374"/>
      <c r="I139" s="374"/>
      <c r="J139" s="376"/>
      <c r="K139" s="590"/>
      <c r="L139" s="377"/>
    </row>
    <row r="140" spans="2:12">
      <c r="B140" s="374"/>
      <c r="C140" s="374">
        <v>21490100</v>
      </c>
      <c r="D140" s="374" t="s">
        <v>628</v>
      </c>
      <c r="E140" s="374" t="s">
        <v>627</v>
      </c>
      <c r="F140" s="375">
        <v>2708.27</v>
      </c>
      <c r="G140" s="374">
        <v>1</v>
      </c>
      <c r="H140" s="374">
        <v>1</v>
      </c>
      <c r="I140" s="374">
        <v>0</v>
      </c>
      <c r="J140" s="376">
        <v>1</v>
      </c>
      <c r="K140" s="590">
        <v>0</v>
      </c>
      <c r="L140" s="377">
        <v>0</v>
      </c>
    </row>
    <row r="141" spans="2:12">
      <c r="B141" s="374"/>
      <c r="C141" s="374">
        <v>21490101</v>
      </c>
      <c r="D141" s="374" t="s">
        <v>630</v>
      </c>
      <c r="E141" s="374" t="s">
        <v>629</v>
      </c>
      <c r="F141" s="375">
        <v>2314.79</v>
      </c>
      <c r="G141" s="374">
        <v>1</v>
      </c>
      <c r="H141" s="374">
        <v>1</v>
      </c>
      <c r="I141" s="374">
        <v>0</v>
      </c>
      <c r="J141" s="376">
        <v>1</v>
      </c>
      <c r="K141" s="590">
        <v>1</v>
      </c>
      <c r="L141" s="377">
        <v>1</v>
      </c>
    </row>
    <row r="142" spans="2:12">
      <c r="B142" s="374"/>
      <c r="C142" s="374">
        <v>31190015</v>
      </c>
      <c r="D142" s="374" t="s">
        <v>632</v>
      </c>
      <c r="E142" s="374" t="s">
        <v>619</v>
      </c>
      <c r="F142" s="375">
        <v>2270.9699999999998</v>
      </c>
      <c r="G142" s="374">
        <v>1</v>
      </c>
      <c r="H142" s="374">
        <v>1</v>
      </c>
      <c r="I142" s="374">
        <v>0</v>
      </c>
      <c r="J142" s="376">
        <v>1</v>
      </c>
      <c r="K142" s="590">
        <v>0</v>
      </c>
      <c r="L142" s="377">
        <v>0</v>
      </c>
    </row>
    <row r="143" spans="2:12">
      <c r="B143" s="374"/>
      <c r="C143" s="374">
        <v>31190015</v>
      </c>
      <c r="D143" s="374" t="s">
        <v>618</v>
      </c>
      <c r="E143" s="374" t="s">
        <v>619</v>
      </c>
      <c r="F143" s="375">
        <v>2113.75</v>
      </c>
      <c r="G143" s="374">
        <v>6</v>
      </c>
      <c r="H143" s="374">
        <v>6</v>
      </c>
      <c r="I143" s="374">
        <v>0</v>
      </c>
      <c r="J143" s="376">
        <v>6</v>
      </c>
      <c r="K143" s="590">
        <v>0</v>
      </c>
      <c r="L143" s="377">
        <v>0</v>
      </c>
    </row>
    <row r="144" spans="2:12">
      <c r="B144" s="374"/>
      <c r="C144" s="374">
        <v>31190019</v>
      </c>
      <c r="D144" s="374" t="s">
        <v>634</v>
      </c>
      <c r="E144" s="374" t="s">
        <v>635</v>
      </c>
      <c r="F144" s="375">
        <v>1612.41</v>
      </c>
      <c r="G144" s="374">
        <v>1</v>
      </c>
      <c r="H144" s="374">
        <v>1</v>
      </c>
      <c r="I144" s="374">
        <v>0</v>
      </c>
      <c r="J144" s="376">
        <v>1</v>
      </c>
      <c r="K144" s="590">
        <v>0</v>
      </c>
      <c r="L144" s="377">
        <v>0</v>
      </c>
    </row>
    <row r="145" spans="2:12">
      <c r="B145" s="374"/>
      <c r="C145" s="374">
        <v>41100004</v>
      </c>
      <c r="D145" s="374" t="s">
        <v>620</v>
      </c>
      <c r="E145" s="374" t="s">
        <v>640</v>
      </c>
      <c r="F145" s="375">
        <v>1452.89</v>
      </c>
      <c r="G145" s="374">
        <v>1</v>
      </c>
      <c r="H145" s="374">
        <v>1</v>
      </c>
      <c r="I145" s="374">
        <v>0</v>
      </c>
      <c r="J145" s="376">
        <v>1</v>
      </c>
      <c r="K145" s="590">
        <v>0</v>
      </c>
      <c r="L145" s="377">
        <v>0</v>
      </c>
    </row>
    <row r="146" spans="2:12">
      <c r="B146" s="374"/>
      <c r="C146" s="374">
        <v>83120012</v>
      </c>
      <c r="D146" s="374" t="s">
        <v>646</v>
      </c>
      <c r="E146" s="374" t="s">
        <v>621</v>
      </c>
      <c r="F146" s="375">
        <v>1805.67</v>
      </c>
      <c r="G146" s="374">
        <v>10</v>
      </c>
      <c r="H146" s="374">
        <v>10</v>
      </c>
      <c r="I146" s="374">
        <v>0</v>
      </c>
      <c r="J146" s="376">
        <v>0</v>
      </c>
      <c r="K146" s="590">
        <v>0</v>
      </c>
      <c r="L146" s="377">
        <v>0</v>
      </c>
    </row>
    <row r="147" spans="2:12">
      <c r="B147" s="374"/>
      <c r="C147" s="374">
        <v>83120014</v>
      </c>
      <c r="D147" s="374" t="s">
        <v>646</v>
      </c>
      <c r="E147" s="374" t="s">
        <v>647</v>
      </c>
      <c r="F147" s="375">
        <v>1750.47</v>
      </c>
      <c r="G147" s="374">
        <v>2</v>
      </c>
      <c r="H147" s="374">
        <v>2</v>
      </c>
      <c r="I147" s="374">
        <v>0</v>
      </c>
      <c r="J147" s="376">
        <v>3</v>
      </c>
      <c r="K147" s="590">
        <v>6</v>
      </c>
      <c r="L147" s="377">
        <v>6</v>
      </c>
    </row>
    <row r="148" spans="2:12">
      <c r="B148" s="374"/>
      <c r="C148" s="374">
        <v>93330010</v>
      </c>
      <c r="D148" s="374" t="s">
        <v>622</v>
      </c>
      <c r="E148" s="374" t="s">
        <v>623</v>
      </c>
      <c r="F148" s="375">
        <v>1242.1099999999999</v>
      </c>
      <c r="G148" s="374">
        <v>1</v>
      </c>
      <c r="H148" s="374">
        <v>1</v>
      </c>
      <c r="I148" s="374">
        <v>0</v>
      </c>
      <c r="J148" s="376">
        <v>1</v>
      </c>
      <c r="K148" s="590">
        <v>1</v>
      </c>
      <c r="L148" s="377">
        <v>1</v>
      </c>
    </row>
    <row r="149" spans="2:12" ht="15.75">
      <c r="B149" s="378" t="s">
        <v>624</v>
      </c>
      <c r="C149" s="378"/>
      <c r="D149" s="378"/>
      <c r="E149" s="378"/>
      <c r="F149" s="379">
        <f>SUM(F140:F148)</f>
        <v>17271.329999999998</v>
      </c>
      <c r="G149" s="378">
        <v>24</v>
      </c>
      <c r="H149" s="378"/>
      <c r="I149" s="378"/>
      <c r="J149" s="380"/>
      <c r="K149" s="591"/>
      <c r="L149" s="377"/>
    </row>
    <row r="150" spans="2:12">
      <c r="B150" s="374" t="s">
        <v>650</v>
      </c>
      <c r="C150" s="374"/>
      <c r="D150" s="374"/>
      <c r="E150" s="374"/>
      <c r="F150" s="375"/>
      <c r="G150" s="374"/>
      <c r="H150" s="374"/>
      <c r="I150" s="374"/>
      <c r="J150" s="376"/>
      <c r="K150" s="590"/>
      <c r="L150" s="377"/>
    </row>
    <row r="151" spans="2:12">
      <c r="B151" s="374"/>
      <c r="C151" s="374">
        <v>31190015</v>
      </c>
      <c r="D151" s="374" t="s">
        <v>636</v>
      </c>
      <c r="E151" s="374" t="s">
        <v>619</v>
      </c>
      <c r="F151" s="375">
        <v>1795.68</v>
      </c>
      <c r="G151" s="374">
        <v>3</v>
      </c>
      <c r="H151" s="374">
        <v>2</v>
      </c>
      <c r="I151" s="374">
        <v>-1</v>
      </c>
      <c r="J151" s="381">
        <v>5</v>
      </c>
      <c r="K151" s="590">
        <v>0</v>
      </c>
      <c r="L151" s="377">
        <v>0</v>
      </c>
    </row>
    <row r="152" spans="2:12">
      <c r="B152" s="374"/>
      <c r="C152" s="374">
        <v>83120014</v>
      </c>
      <c r="D152" s="374" t="s">
        <v>646</v>
      </c>
      <c r="E152" s="374" t="s">
        <v>647</v>
      </c>
      <c r="F152" s="375">
        <v>1723.21</v>
      </c>
      <c r="G152" s="374">
        <v>8</v>
      </c>
      <c r="H152" s="374">
        <v>7</v>
      </c>
      <c r="I152" s="374">
        <v>-1</v>
      </c>
      <c r="J152" s="376">
        <v>2</v>
      </c>
      <c r="K152" s="590">
        <v>2</v>
      </c>
      <c r="L152" s="377">
        <v>2</v>
      </c>
    </row>
    <row r="153" spans="2:12" ht="15.75">
      <c r="B153" s="378" t="s">
        <v>624</v>
      </c>
      <c r="C153" s="378"/>
      <c r="D153" s="378"/>
      <c r="E153" s="378"/>
      <c r="F153" s="379">
        <f>SUM(F151:F152)</f>
        <v>3518.8900000000003</v>
      </c>
      <c r="G153" s="378">
        <v>11</v>
      </c>
      <c r="H153" s="378"/>
      <c r="I153" s="378"/>
      <c r="J153" s="380"/>
      <c r="K153" s="591"/>
      <c r="L153" s="377"/>
    </row>
    <row r="154" spans="2:12">
      <c r="B154" s="374" t="s">
        <v>651</v>
      </c>
      <c r="C154" s="374"/>
      <c r="D154" s="374"/>
      <c r="E154" s="374"/>
      <c r="F154" s="375"/>
      <c r="G154" s="374"/>
      <c r="H154" s="374"/>
      <c r="I154" s="374"/>
      <c r="J154" s="376"/>
      <c r="K154" s="590"/>
      <c r="L154" s="377"/>
    </row>
    <row r="155" spans="2:12">
      <c r="B155" s="374"/>
      <c r="C155" s="374">
        <v>31190015</v>
      </c>
      <c r="D155" s="374" t="s">
        <v>636</v>
      </c>
      <c r="E155" s="374" t="s">
        <v>619</v>
      </c>
      <c r="F155" s="375">
        <v>2291.6</v>
      </c>
      <c r="G155" s="374">
        <v>2</v>
      </c>
      <c r="H155" s="374">
        <v>2</v>
      </c>
      <c r="I155" s="374">
        <v>0</v>
      </c>
      <c r="J155" s="381">
        <v>5</v>
      </c>
      <c r="K155" s="590">
        <v>0</v>
      </c>
      <c r="L155" s="377">
        <v>0</v>
      </c>
    </row>
    <row r="156" spans="2:12">
      <c r="B156" s="374"/>
      <c r="C156" s="374">
        <v>83120014</v>
      </c>
      <c r="D156" s="374" t="s">
        <v>646</v>
      </c>
      <c r="E156" s="374" t="s">
        <v>647</v>
      </c>
      <c r="F156" s="375">
        <v>1679.9</v>
      </c>
      <c r="G156" s="374">
        <v>5</v>
      </c>
      <c r="H156" s="374">
        <v>5</v>
      </c>
      <c r="I156" s="374">
        <v>0</v>
      </c>
      <c r="J156" s="376">
        <v>3</v>
      </c>
      <c r="K156" s="590">
        <v>3</v>
      </c>
      <c r="L156" s="377">
        <v>3</v>
      </c>
    </row>
    <row r="157" spans="2:12" ht="15.75">
      <c r="B157" s="378" t="s">
        <v>624</v>
      </c>
      <c r="C157" s="378"/>
      <c r="D157" s="378"/>
      <c r="E157" s="378"/>
      <c r="F157" s="379">
        <f>SUM(F155:F156)</f>
        <v>3971.5</v>
      </c>
      <c r="G157" s="378">
        <v>7</v>
      </c>
      <c r="H157" s="378"/>
      <c r="I157" s="378"/>
      <c r="J157" s="380"/>
      <c r="K157" s="591"/>
      <c r="L157" s="377"/>
    </row>
    <row r="158" spans="2:12">
      <c r="B158" s="374" t="s">
        <v>652</v>
      </c>
      <c r="C158" s="374"/>
      <c r="D158" s="374"/>
      <c r="E158" s="374"/>
      <c r="F158" s="375"/>
      <c r="G158" s="374"/>
      <c r="H158" s="374"/>
      <c r="I158" s="374"/>
      <c r="J158" s="376"/>
      <c r="K158" s="590"/>
      <c r="L158" s="377"/>
    </row>
    <row r="159" spans="2:12">
      <c r="B159" s="374"/>
      <c r="C159" s="374">
        <v>31190015</v>
      </c>
      <c r="D159" s="374" t="s">
        <v>636</v>
      </c>
      <c r="E159" s="374" t="s">
        <v>619</v>
      </c>
      <c r="F159" s="375">
        <v>1931.44</v>
      </c>
      <c r="G159" s="374">
        <v>5</v>
      </c>
      <c r="H159" s="374">
        <v>5</v>
      </c>
      <c r="I159" s="374">
        <v>0</v>
      </c>
      <c r="J159" s="376">
        <v>5</v>
      </c>
      <c r="K159" s="590">
        <v>0</v>
      </c>
      <c r="L159" s="377">
        <v>0</v>
      </c>
    </row>
    <row r="160" spans="2:12">
      <c r="B160" s="374"/>
      <c r="C160" s="376">
        <v>83120014</v>
      </c>
      <c r="D160" s="376" t="s">
        <v>646</v>
      </c>
      <c r="E160" s="376" t="s">
        <v>647</v>
      </c>
      <c r="F160" s="382">
        <f>F152</f>
        <v>1723.21</v>
      </c>
      <c r="G160" s="374">
        <v>0</v>
      </c>
      <c r="H160" s="374">
        <v>0</v>
      </c>
      <c r="I160" s="374">
        <v>0</v>
      </c>
      <c r="J160" s="376">
        <v>2</v>
      </c>
      <c r="K160" s="590">
        <v>2</v>
      </c>
      <c r="L160" s="377">
        <v>2</v>
      </c>
    </row>
    <row r="161" spans="2:12" ht="15.75">
      <c r="B161" s="378" t="s">
        <v>624</v>
      </c>
      <c r="C161" s="378"/>
      <c r="D161" s="378"/>
      <c r="E161" s="378"/>
      <c r="F161" s="379">
        <f>SUM(F159:F160)</f>
        <v>3654.65</v>
      </c>
      <c r="G161" s="378">
        <v>5</v>
      </c>
      <c r="H161" s="378"/>
      <c r="I161" s="378"/>
      <c r="J161" s="380"/>
      <c r="K161" s="591"/>
      <c r="L161" s="377"/>
    </row>
    <row r="162" spans="2:12">
      <c r="B162" s="374" t="s">
        <v>653</v>
      </c>
      <c r="C162" s="374"/>
      <c r="D162" s="374"/>
      <c r="E162" s="374"/>
      <c r="F162" s="375"/>
      <c r="G162" s="374"/>
      <c r="H162" s="374"/>
      <c r="I162" s="374"/>
      <c r="J162" s="376"/>
      <c r="K162" s="590"/>
      <c r="L162" s="377"/>
    </row>
    <row r="163" spans="2:12">
      <c r="B163" s="374"/>
      <c r="C163" s="374">
        <v>31190015</v>
      </c>
      <c r="D163" s="374" t="s">
        <v>634</v>
      </c>
      <c r="E163" s="374" t="s">
        <v>619</v>
      </c>
      <c r="F163" s="375">
        <v>1970.34</v>
      </c>
      <c r="G163" s="374">
        <v>5</v>
      </c>
      <c r="H163" s="374">
        <v>5</v>
      </c>
      <c r="I163" s="374">
        <v>0</v>
      </c>
      <c r="J163" s="376">
        <v>5</v>
      </c>
      <c r="K163" s="590">
        <v>0</v>
      </c>
      <c r="L163" s="377">
        <v>0</v>
      </c>
    </row>
    <row r="164" spans="2:12">
      <c r="B164" s="374"/>
      <c r="C164" s="374">
        <v>83120014</v>
      </c>
      <c r="D164" s="374" t="s">
        <v>646</v>
      </c>
      <c r="E164" s="374" t="s">
        <v>647</v>
      </c>
      <c r="F164" s="375">
        <v>1783.79</v>
      </c>
      <c r="G164" s="374">
        <v>11</v>
      </c>
      <c r="H164" s="374">
        <v>11</v>
      </c>
      <c r="I164" s="374">
        <v>0</v>
      </c>
      <c r="J164" s="376">
        <v>2</v>
      </c>
      <c r="K164" s="590">
        <v>2</v>
      </c>
      <c r="L164" s="377">
        <v>2</v>
      </c>
    </row>
    <row r="165" spans="2:12" ht="15.75">
      <c r="B165" s="378" t="s">
        <v>624</v>
      </c>
      <c r="C165" s="378"/>
      <c r="D165" s="378"/>
      <c r="E165" s="378"/>
      <c r="F165" s="379">
        <f>SUM(F163:F164)</f>
        <v>3754.13</v>
      </c>
      <c r="G165" s="378">
        <v>16</v>
      </c>
      <c r="H165" s="378"/>
      <c r="I165" s="378"/>
      <c r="J165" s="383"/>
      <c r="K165" s="383"/>
      <c r="L165" s="377"/>
    </row>
    <row r="166" spans="2:12">
      <c r="B166" s="592" t="s">
        <v>834</v>
      </c>
      <c r="C166" s="592"/>
      <c r="D166" s="592"/>
      <c r="E166" s="592"/>
      <c r="F166" s="593"/>
      <c r="G166" s="592"/>
      <c r="H166" s="592"/>
      <c r="I166" s="592"/>
      <c r="J166" s="592"/>
      <c r="K166" s="592"/>
      <c r="L166" s="592"/>
    </row>
    <row r="167" spans="2:12">
      <c r="B167" s="592"/>
      <c r="C167" s="592">
        <v>31190015</v>
      </c>
      <c r="D167" s="592" t="s">
        <v>636</v>
      </c>
      <c r="E167" s="592" t="s">
        <v>619</v>
      </c>
      <c r="F167" s="593">
        <f>AVERAGE(F109,F117,F118,F131,F132,F136,F142,F143,F151,F155,F159,F163)</f>
        <v>2150.7233333333334</v>
      </c>
      <c r="G167" s="592">
        <v>6</v>
      </c>
      <c r="H167" s="592"/>
      <c r="I167" s="592"/>
      <c r="J167" s="376">
        <v>6</v>
      </c>
      <c r="K167" s="590">
        <v>6</v>
      </c>
      <c r="L167" s="594">
        <v>5</v>
      </c>
    </row>
    <row r="168" spans="2:12">
      <c r="B168" s="592"/>
      <c r="C168" s="592">
        <v>83120014</v>
      </c>
      <c r="D168" s="592" t="s">
        <v>646</v>
      </c>
      <c r="E168" s="592" t="s">
        <v>647</v>
      </c>
      <c r="F168" s="593">
        <f>AVERAGE(F133,F147,F152,F156,F164)</f>
        <v>1744.36</v>
      </c>
      <c r="G168" s="592">
        <v>1</v>
      </c>
      <c r="H168" s="592"/>
      <c r="I168" s="592"/>
      <c r="J168" s="376">
        <v>1</v>
      </c>
      <c r="K168" s="590">
        <v>1</v>
      </c>
      <c r="L168" s="594">
        <v>2</v>
      </c>
    </row>
    <row r="169" spans="2:12" ht="15.75">
      <c r="B169" s="595" t="s">
        <v>624</v>
      </c>
      <c r="C169" s="595"/>
      <c r="D169" s="595"/>
      <c r="E169" s="595"/>
      <c r="F169" s="596"/>
      <c r="G169" s="595">
        <f>SUM(G167:G168)</f>
        <v>7</v>
      </c>
      <c r="H169" s="597"/>
      <c r="I169" s="597"/>
      <c r="J169" s="380"/>
      <c r="K169" s="591"/>
      <c r="L169" s="598"/>
    </row>
    <row r="170" spans="2:12">
      <c r="B170" s="592" t="s">
        <v>835</v>
      </c>
      <c r="C170" s="592"/>
      <c r="D170" s="592"/>
      <c r="E170" s="592"/>
      <c r="F170" s="593"/>
      <c r="G170" s="592"/>
      <c r="H170" s="592"/>
      <c r="I170" s="592"/>
      <c r="J170" s="592"/>
      <c r="K170" s="592"/>
      <c r="L170" s="592"/>
    </row>
    <row r="171" spans="2:12">
      <c r="B171" s="592"/>
      <c r="C171" s="592">
        <v>83120014</v>
      </c>
      <c r="D171" s="592" t="s">
        <v>646</v>
      </c>
      <c r="E171" s="592" t="s">
        <v>647</v>
      </c>
      <c r="F171" s="593">
        <f>AVERAGE(F133,F147,F152,F156,F164)</f>
        <v>1744.36</v>
      </c>
      <c r="G171" s="592">
        <v>0</v>
      </c>
      <c r="H171" s="592"/>
      <c r="I171" s="592"/>
      <c r="J171" s="376">
        <v>0</v>
      </c>
      <c r="K171" s="590">
        <v>0</v>
      </c>
      <c r="L171" s="594">
        <v>0</v>
      </c>
    </row>
    <row r="172" spans="2:12" ht="15.75">
      <c r="B172" s="595" t="s">
        <v>624</v>
      </c>
      <c r="C172" s="595"/>
      <c r="D172" s="595"/>
      <c r="E172" s="595"/>
      <c r="F172" s="596"/>
      <c r="G172" s="595">
        <f>SUM(G171)</f>
        <v>0</v>
      </c>
      <c r="H172" s="597"/>
      <c r="I172" s="597"/>
      <c r="J172" s="380"/>
      <c r="K172" s="591"/>
      <c r="L172" s="598"/>
    </row>
    <row r="173" spans="2:12">
      <c r="F173" s="368"/>
    </row>
    <row r="174" spans="2:12">
      <c r="F174" s="368"/>
    </row>
    <row r="175" spans="2:12" ht="15.75">
      <c r="B175" s="924" t="s">
        <v>602</v>
      </c>
      <c r="C175" s="924"/>
      <c r="D175" s="924"/>
      <c r="E175" s="924"/>
      <c r="F175" s="599">
        <f>F165+F161+F157+F153+F149+F138+F134+F129+F112</f>
        <v>75657.959999999992</v>
      </c>
      <c r="G175" s="330">
        <f>G165+G161+G157+G153+G149+G138+G134+G129+G112+G169+G172</f>
        <v>162</v>
      </c>
      <c r="J175" s="600" t="s">
        <v>843</v>
      </c>
      <c r="K175" s="330">
        <f>SUM(K109:K172)</f>
        <v>99</v>
      </c>
      <c r="L175" s="330">
        <f>SUM(L109:L172)</f>
        <v>97</v>
      </c>
    </row>
    <row r="179" spans="2:7" s="349" customFormat="1"/>
    <row r="180" spans="2:7" ht="15.75" thickBot="1"/>
    <row r="181" spans="2:7">
      <c r="B181" s="938" t="s">
        <v>654</v>
      </c>
      <c r="C181" s="939"/>
      <c r="D181" s="940"/>
    </row>
    <row r="182" spans="2:7" ht="15.75" thickBot="1">
      <c r="B182" s="941"/>
      <c r="C182" s="942"/>
      <c r="D182" s="943"/>
    </row>
    <row r="183" spans="2:7" ht="15.75" thickBot="1"/>
    <row r="184" spans="2:7" ht="21.75" thickBot="1">
      <c r="B184" s="918" t="s">
        <v>599</v>
      </c>
      <c r="C184" s="919"/>
      <c r="D184" s="920"/>
    </row>
    <row r="185" spans="2:7" ht="7.5" customHeight="1">
      <c r="B185" s="385"/>
      <c r="C185" s="386"/>
      <c r="D185" s="386"/>
    </row>
    <row r="186" spans="2:7" ht="18" customHeight="1">
      <c r="B186" s="911" t="s">
        <v>655</v>
      </c>
      <c r="C186" s="330" t="str">
        <f>B230</f>
        <v>Dĺžka hlavných traťových koľají vrátane priebežných koľají v staniciach  [km] =&gt; 1-koľaj</v>
      </c>
      <c r="D186" s="388">
        <f>(IF(C231=$C$222,C223*C230,IF(C231=$D$222,D223*C230,0)))*F186</f>
        <v>3245304.4061314752</v>
      </c>
      <c r="E186" s="389" t="s">
        <v>656</v>
      </c>
      <c r="F186" s="390">
        <v>2</v>
      </c>
      <c r="G186" s="542">
        <f>IF(2*(G230/C230)&gt;1,2*(G230/C230),1+2*(G230/C230))</f>
        <v>1</v>
      </c>
    </row>
    <row r="187" spans="2:7">
      <c r="B187" s="911"/>
      <c r="C187" s="330" t="str">
        <f>B232</f>
        <v>Dĺžka hlavných traťových koľají vrátane priebežných koľají v staniciach  [km] =&gt; 2-koľaj</v>
      </c>
      <c r="D187" s="368">
        <f>(IF(C233=$C$222,C224*C232,IF(C233=$D$222,D224*C232,0)))*F187</f>
        <v>0</v>
      </c>
      <c r="E187" s="389" t="s">
        <v>656</v>
      </c>
      <c r="F187" s="390">
        <v>1</v>
      </c>
      <c r="G187" s="542"/>
    </row>
    <row r="188" spans="2:7" ht="7.5" customHeight="1">
      <c r="B188" s="391"/>
      <c r="D188" s="368"/>
      <c r="F188" s="553"/>
      <c r="G188" s="542"/>
    </row>
    <row r="189" spans="2:7">
      <c r="B189" s="387" t="s">
        <v>657</v>
      </c>
      <c r="C189" s="330" t="str">
        <f>B291</f>
        <v>Dĺžka vedľajších traťových koľají v staniciach  [km]</v>
      </c>
      <c r="D189" s="368">
        <f>(IF(C292=$C$285,C286*C291,IF(C292=$D$285,D286*C291)))*F189</f>
        <v>474316.5523851827</v>
      </c>
      <c r="E189" s="389" t="s">
        <v>656</v>
      </c>
      <c r="F189" s="390">
        <v>1</v>
      </c>
      <c r="G189" s="542"/>
    </row>
    <row r="190" spans="2:7" ht="7.5" customHeight="1">
      <c r="B190" s="391"/>
      <c r="D190" s="368"/>
      <c r="F190" s="553"/>
      <c r="G190" s="542"/>
    </row>
    <row r="191" spans="2:7">
      <c r="B191" s="387" t="s">
        <v>658</v>
      </c>
      <c r="C191" s="330" t="str">
        <f>B350</f>
        <v>Celkový počet výhybiek [ks]</v>
      </c>
      <c r="D191" s="368">
        <f>(IF(C351=$C$344,C345*C350,IF(C351=$D$344,C350*D345)))*F191</f>
        <v>1189195.2976082705</v>
      </c>
      <c r="E191" s="389" t="s">
        <v>656</v>
      </c>
      <c r="F191" s="390">
        <v>2</v>
      </c>
      <c r="G191" s="542">
        <f>IF(2*((I350+H350)/C350)&gt;1,2*((I350+H350)/C350),1+2*((I350+H350)/C350))</f>
        <v>1.9333333333333333</v>
      </c>
    </row>
    <row r="192" spans="2:7" ht="7.5" customHeight="1">
      <c r="B192" s="391"/>
      <c r="D192" s="368"/>
      <c r="F192" s="553"/>
    </row>
    <row r="193" spans="2:7">
      <c r="B193" s="911" t="s">
        <v>659</v>
      </c>
      <c r="C193" s="330" t="str">
        <f>B411</f>
        <v>Dĺžka mostov - oceľový  [km] =&gt; 1-koľaj</v>
      </c>
      <c r="D193" s="368">
        <f>(C411*C404)*F193</f>
        <v>0</v>
      </c>
      <c r="E193" s="389" t="s">
        <v>656</v>
      </c>
      <c r="F193" s="390">
        <v>1</v>
      </c>
    </row>
    <row r="194" spans="2:7">
      <c r="B194" s="911"/>
      <c r="C194" s="330" t="str">
        <f>B412</f>
        <v>Dĺžka mostov - oceľový  [km] =&gt; 2-koľaj</v>
      </c>
      <c r="D194" s="368">
        <f>(C412*C405)*F194</f>
        <v>0</v>
      </c>
      <c r="E194" s="389" t="s">
        <v>656</v>
      </c>
      <c r="F194" s="390">
        <v>1</v>
      </c>
    </row>
    <row r="195" spans="2:7">
      <c r="B195" s="911"/>
      <c r="C195" s="330" t="str">
        <f>B413</f>
        <v>Dĺžka mostov - masívny  [km] =&gt; 1-koľaj</v>
      </c>
      <c r="D195" s="368">
        <f>(C413*D404)*F195</f>
        <v>0</v>
      </c>
      <c r="E195" s="389" t="s">
        <v>656</v>
      </c>
      <c r="F195" s="390">
        <v>1</v>
      </c>
    </row>
    <row r="196" spans="2:7">
      <c r="B196" s="911"/>
      <c r="C196" s="330" t="str">
        <f>B414</f>
        <v>Dĺžka mostov - masívny  [km] =&gt; 2-koľaj</v>
      </c>
      <c r="D196" s="368">
        <f>(C414*D405)*F196</f>
        <v>0</v>
      </c>
      <c r="E196" s="389" t="s">
        <v>656</v>
      </c>
      <c r="F196" s="390">
        <v>1</v>
      </c>
    </row>
    <row r="197" spans="2:7" ht="7.5" customHeight="1">
      <c r="B197" s="391"/>
      <c r="D197" s="368"/>
      <c r="F197" s="553"/>
    </row>
    <row r="198" spans="2:7" ht="15.75" thickBot="1">
      <c r="B198" s="387" t="s">
        <v>660</v>
      </c>
      <c r="C198" s="330" t="str">
        <f>B470</f>
        <v>Dĺžka železničných tunelov  [km]</v>
      </c>
      <c r="D198" s="368">
        <f>(C470*C467)*F198</f>
        <v>37554.857934518404</v>
      </c>
      <c r="E198" s="389" t="s">
        <v>656</v>
      </c>
      <c r="F198" s="390">
        <v>1</v>
      </c>
    </row>
    <row r="199" spans="2:7" ht="19.5" thickBot="1">
      <c r="C199" s="392" t="s">
        <v>602</v>
      </c>
      <c r="D199" s="393">
        <f>SUM(D186:D198)</f>
        <v>4946371.1140594473</v>
      </c>
    </row>
    <row r="201" spans="2:7" ht="15.75" thickBot="1"/>
    <row r="202" spans="2:7" ht="21.75" thickBot="1">
      <c r="B202" s="918" t="s">
        <v>600</v>
      </c>
      <c r="C202" s="919"/>
      <c r="D202" s="601">
        <v>2027</v>
      </c>
      <c r="E202" s="602" t="s">
        <v>839</v>
      </c>
    </row>
    <row r="203" spans="2:7" ht="5.25" customHeight="1">
      <c r="B203" s="385"/>
      <c r="D203" s="347"/>
    </row>
    <row r="204" spans="2:7" ht="18.75" customHeight="1">
      <c r="B204" s="911" t="s">
        <v>655</v>
      </c>
      <c r="C204" s="330" t="s">
        <v>661</v>
      </c>
      <c r="D204" s="388">
        <f>IF(D231=$C$222,C223*D230,IF(D231=$D$222,D223*D230,0))*G204+IF(E231=$C$222,C225*E230,IF(E231=$D$222,D225*E230,0))</f>
        <v>3245304.4061314752</v>
      </c>
      <c r="E204" s="368">
        <f>IF(F231=$C$222,C223*F230,IF(F231=$D$222,D223*F230,0))*G204+IF(G231=$C$222,C225*G230,IF(G231=$D$222,D225*G230,0))</f>
        <v>3245304.4061314752</v>
      </c>
      <c r="F204" s="389" t="s">
        <v>656</v>
      </c>
      <c r="G204" s="390">
        <f>F186</f>
        <v>2</v>
      </c>
    </row>
    <row r="205" spans="2:7">
      <c r="B205" s="911"/>
      <c r="C205" s="330" t="s">
        <v>662</v>
      </c>
      <c r="D205" s="368">
        <f>IF(D233=$C$222,C224*D232,IF(D233=$D$222,D224*D232,0))*G205+IF(E233=$C$222,C226*E232,IF(E233=$D$222,D226*E232,0))</f>
        <v>0</v>
      </c>
      <c r="E205" s="368">
        <f>IF(F233=$C$222,C224*F232,IF(F233=$D$222,D224*F232,0))*G205+IF(G233=$C$222,C226*G232,IF(G233=$D$222,D226*G232,0))</f>
        <v>0</v>
      </c>
      <c r="F205" s="389" t="s">
        <v>656</v>
      </c>
      <c r="G205" s="390">
        <f t="shared" ref="G205:G216" si="90">F187</f>
        <v>1</v>
      </c>
    </row>
    <row r="206" spans="2:7" ht="5.25" customHeight="1">
      <c r="B206" s="391"/>
      <c r="D206" s="347"/>
      <c r="E206" s="384"/>
      <c r="G206" s="541"/>
    </row>
    <row r="207" spans="2:7">
      <c r="B207" s="387" t="s">
        <v>657</v>
      </c>
      <c r="C207" s="330" t="s">
        <v>663</v>
      </c>
      <c r="D207" s="368">
        <f>IF(D292=$C$285,C286*D291,IF(D292=$D$285,D286*D291))*G207+IF(E292=$C$285,C287*E291,IF(E292=$D$285,D287*E291))</f>
        <v>474316.5523851827</v>
      </c>
      <c r="E207" s="368">
        <f>IF(F292=$C$285,C286*F291,IF(F292=$D$285,D286*F291))*G207+IF(G292=$C$285,C287*G291,IF(G292=$D$285,D287*G291))</f>
        <v>474316.5523851827</v>
      </c>
      <c r="F207" s="389" t="s">
        <v>656</v>
      </c>
      <c r="G207" s="390">
        <f t="shared" si="90"/>
        <v>1</v>
      </c>
    </row>
    <row r="208" spans="2:7" ht="5.25" customHeight="1">
      <c r="B208" s="391"/>
      <c r="D208" s="347"/>
      <c r="E208" s="384"/>
      <c r="G208" s="541"/>
    </row>
    <row r="209" spans="2:7">
      <c r="B209" s="387" t="s">
        <v>658</v>
      </c>
      <c r="C209" s="330" t="s">
        <v>664</v>
      </c>
      <c r="D209" s="368">
        <f>IF(D351=$C$344,C345*D350,IF(D351=$D$344,D350*D345))*G209+IF(F351=$C$344,C346*F350,IF(F351=$D$344,F350*D346))+IF(E351=$C$344,E350*(C345-(C345-C346)*10%),IF(E351=D344,E350*(D345-(D345-D346)*10%)))</f>
        <v>1110068.2225410221</v>
      </c>
      <c r="E209" s="368">
        <f>IF(G351=$C$344,C345*G350,IF(G351=$D$344,G350*D345))*G209+IF(I351=$C$344,C346*I350,IF(I351=$D$344,I350*D346))+IF(H351=$C$344,H350*(C345-(C345-C346)*10%),IF(H351=D344,H350*(D345-(D345-D346)*10%)))</f>
        <v>886545.68133404246</v>
      </c>
      <c r="F209" s="389" t="s">
        <v>656</v>
      </c>
      <c r="G209" s="390">
        <f t="shared" si="90"/>
        <v>2</v>
      </c>
    </row>
    <row r="210" spans="2:7" ht="5.25" customHeight="1">
      <c r="B210" s="391"/>
      <c r="D210" s="347"/>
      <c r="E210" s="384"/>
      <c r="G210" s="541"/>
    </row>
    <row r="211" spans="2:7">
      <c r="B211" s="911" t="s">
        <v>659</v>
      </c>
      <c r="C211" s="330" t="s">
        <v>665</v>
      </c>
      <c r="D211" s="368">
        <f>(D411*C404)*G211+C406*E411</f>
        <v>0</v>
      </c>
      <c r="E211" s="368">
        <f>(F411*C404)*G211+C406*G411</f>
        <v>0</v>
      </c>
      <c r="F211" s="389" t="s">
        <v>656</v>
      </c>
      <c r="G211" s="390">
        <f t="shared" si="90"/>
        <v>1</v>
      </c>
    </row>
    <row r="212" spans="2:7">
      <c r="B212" s="911"/>
      <c r="C212" s="330" t="s">
        <v>666</v>
      </c>
      <c r="D212" s="368">
        <f>(D412*C405)*G212+C407*E412</f>
        <v>0</v>
      </c>
      <c r="E212" s="368">
        <f>(F412*C405)*G212+C407*G412</f>
        <v>0</v>
      </c>
      <c r="F212" s="389" t="s">
        <v>656</v>
      </c>
      <c r="G212" s="390">
        <f t="shared" si="90"/>
        <v>1</v>
      </c>
    </row>
    <row r="213" spans="2:7">
      <c r="B213" s="911"/>
      <c r="C213" s="330" t="s">
        <v>667</v>
      </c>
      <c r="D213" s="368">
        <f>(D413*D404)*G213+D406*E413</f>
        <v>0</v>
      </c>
      <c r="E213" s="368">
        <f>(F413*D404)*G213+D406*G413</f>
        <v>0</v>
      </c>
      <c r="F213" s="389" t="s">
        <v>656</v>
      </c>
      <c r="G213" s="390">
        <f t="shared" si="90"/>
        <v>1</v>
      </c>
    </row>
    <row r="214" spans="2:7">
      <c r="B214" s="911"/>
      <c r="C214" s="330" t="s">
        <v>668</v>
      </c>
      <c r="D214" s="368">
        <f>(D414*D405)*G214+E414*D407</f>
        <v>0</v>
      </c>
      <c r="E214" s="368">
        <f>(F414*D405)*G214+G414*D407</f>
        <v>0</v>
      </c>
      <c r="F214" s="389" t="s">
        <v>656</v>
      </c>
      <c r="G214" s="390">
        <f t="shared" si="90"/>
        <v>1</v>
      </c>
    </row>
    <row r="215" spans="2:7" ht="5.25" customHeight="1">
      <c r="B215" s="391"/>
      <c r="D215" s="347"/>
      <c r="E215" s="384"/>
      <c r="G215" s="541"/>
    </row>
    <row r="216" spans="2:7" ht="15.75" thickBot="1">
      <c r="B216" s="387" t="s">
        <v>660</v>
      </c>
      <c r="C216" s="330" t="s">
        <v>669</v>
      </c>
      <c r="D216" s="368">
        <f>(D470*C467)*G216</f>
        <v>37554.857934518404</v>
      </c>
      <c r="E216" s="368">
        <f>(E470*C467)*G216</f>
        <v>37554.857934518404</v>
      </c>
      <c r="F216" s="389" t="s">
        <v>656</v>
      </c>
      <c r="G216" s="390">
        <f t="shared" si="90"/>
        <v>1</v>
      </c>
    </row>
    <row r="217" spans="2:7" ht="19.5" thickBot="1">
      <c r="C217" s="392" t="s">
        <v>602</v>
      </c>
      <c r="D217" s="393">
        <f>SUM(D204:D216)</f>
        <v>4867244.0389921991</v>
      </c>
      <c r="E217" s="393">
        <f>SUM(E204:E216)</f>
        <v>4643721.497785219</v>
      </c>
    </row>
    <row r="218" spans="2:7" ht="18.75">
      <c r="C218" s="392"/>
      <c r="D218" s="372"/>
      <c r="E218" s="347"/>
    </row>
    <row r="219" spans="2:7" ht="18.75">
      <c r="C219" s="392"/>
      <c r="D219" s="372"/>
    </row>
    <row r="221" spans="2:7">
      <c r="B221" s="394" t="s">
        <v>324</v>
      </c>
      <c r="C221" s="904" t="s">
        <v>317</v>
      </c>
      <c r="D221" s="904"/>
    </row>
    <row r="222" spans="2:7" ht="33.75" customHeight="1">
      <c r="B222" s="395" t="s">
        <v>316</v>
      </c>
      <c r="C222" s="396" t="s">
        <v>318</v>
      </c>
      <c r="D222" s="396" t="s">
        <v>319</v>
      </c>
    </row>
    <row r="223" spans="2:7">
      <c r="B223" s="397" t="s">
        <v>320</v>
      </c>
      <c r="C223" s="398">
        <f>Parametre!C47</f>
        <v>19223.823951026316</v>
      </c>
      <c r="D223" s="398">
        <f>Parametre!D47</f>
        <v>21646.041421311016</v>
      </c>
    </row>
    <row r="224" spans="2:7">
      <c r="B224" s="397" t="s">
        <v>321</v>
      </c>
      <c r="C224" s="398">
        <f>Parametre!C48</f>
        <v>38447.647902052631</v>
      </c>
      <c r="D224" s="398">
        <f>Parametre!D48</f>
        <v>43292.082842622032</v>
      </c>
    </row>
    <row r="225" spans="2:8">
      <c r="B225" s="397" t="s">
        <v>322</v>
      </c>
      <c r="C225" s="398">
        <f>Parametre!C49</f>
        <v>9780.1758708641155</v>
      </c>
      <c r="D225" s="398">
        <f>Parametre!D49</f>
        <v>9780.1758708641155</v>
      </c>
    </row>
    <row r="226" spans="2:8">
      <c r="B226" s="397" t="s">
        <v>323</v>
      </c>
      <c r="C226" s="398">
        <f>Parametre!C50</f>
        <v>19560.351741728231</v>
      </c>
      <c r="D226" s="398">
        <f>Parametre!D50</f>
        <v>19560.351741728231</v>
      </c>
    </row>
    <row r="227" spans="2:8" ht="15.75" thickBot="1">
      <c r="B227" s="399" t="s">
        <v>670</v>
      </c>
      <c r="C227" s="331"/>
      <c r="D227" s="331"/>
    </row>
    <row r="228" spans="2:8" ht="36.75" customHeight="1">
      <c r="B228" s="399"/>
      <c r="C228" s="907" t="s">
        <v>599</v>
      </c>
      <c r="D228" s="909" t="s">
        <v>840</v>
      </c>
      <c r="E228" s="910"/>
      <c r="F228" s="909" t="s">
        <v>841</v>
      </c>
      <c r="G228" s="910"/>
    </row>
    <row r="229" spans="2:8" ht="13.5" customHeight="1" thickBot="1">
      <c r="B229" s="399"/>
      <c r="C229" s="908"/>
      <c r="D229" s="400" t="s">
        <v>671</v>
      </c>
      <c r="E229" s="401" t="s">
        <v>672</v>
      </c>
      <c r="F229" s="400" t="s">
        <v>671</v>
      </c>
      <c r="G229" s="401" t="s">
        <v>672</v>
      </c>
    </row>
    <row r="230" spans="2:8">
      <c r="B230" s="402" t="s">
        <v>673</v>
      </c>
      <c r="C230" s="403">
        <f>SUMIFS(E236:E280,D236:D280,"1-koľaj")</f>
        <v>74.962999999999994</v>
      </c>
      <c r="D230" s="404">
        <f>C230-E230</f>
        <v>74.962999999999994</v>
      </c>
      <c r="E230" s="405">
        <v>0</v>
      </c>
      <c r="F230" s="404">
        <f>C230-G230</f>
        <v>74.962999999999994</v>
      </c>
      <c r="G230" s="405">
        <v>0</v>
      </c>
      <c r="H230" s="406"/>
    </row>
    <row r="231" spans="2:8">
      <c r="B231" s="407" t="s">
        <v>317</v>
      </c>
      <c r="C231" s="408" t="str">
        <f>D222</f>
        <v>nad 10 mil. hrubých ton/rok</v>
      </c>
      <c r="D231" s="603" t="s">
        <v>319</v>
      </c>
      <c r="E231" s="604" t="s">
        <v>319</v>
      </c>
      <c r="F231" s="603" t="s">
        <v>319</v>
      </c>
      <c r="G231" s="604" t="s">
        <v>319</v>
      </c>
    </row>
    <row r="232" spans="2:8">
      <c r="B232" s="407" t="s">
        <v>662</v>
      </c>
      <c r="C232" s="408">
        <f>SUMIFS(E236:E280,D236:D280,"2-koľaj")</f>
        <v>0</v>
      </c>
      <c r="D232" s="409">
        <f>C232-E232</f>
        <v>0</v>
      </c>
      <c r="E232" s="604">
        <v>0</v>
      </c>
      <c r="F232" s="409">
        <f>E232-G232</f>
        <v>0</v>
      </c>
      <c r="G232" s="604">
        <v>0</v>
      </c>
    </row>
    <row r="233" spans="2:8" ht="15.75" thickBot="1">
      <c r="B233" s="410" t="s">
        <v>317</v>
      </c>
      <c r="C233" s="411" t="str">
        <f>D222</f>
        <v>nad 10 mil. hrubých ton/rok</v>
      </c>
      <c r="D233" s="605" t="s">
        <v>319</v>
      </c>
      <c r="E233" s="412" t="s">
        <v>319</v>
      </c>
      <c r="F233" s="605" t="s">
        <v>319</v>
      </c>
      <c r="G233" s="412" t="s">
        <v>319</v>
      </c>
    </row>
    <row r="234" spans="2:8">
      <c r="B234" s="399"/>
      <c r="C234" s="331"/>
      <c r="D234" s="331"/>
    </row>
    <row r="235" spans="2:8" ht="30">
      <c r="D235" s="413" t="s">
        <v>674</v>
      </c>
      <c r="E235" s="414" t="s">
        <v>675</v>
      </c>
      <c r="F235" s="413"/>
    </row>
    <row r="236" spans="2:8">
      <c r="B236" s="330" t="s">
        <v>764</v>
      </c>
      <c r="C236" s="330" t="s">
        <v>603</v>
      </c>
      <c r="D236" s="387" t="s">
        <v>341</v>
      </c>
      <c r="E236" s="384">
        <v>1.4329999999999998</v>
      </c>
      <c r="F236" s="387"/>
    </row>
    <row r="237" spans="2:8">
      <c r="B237" s="330" t="s">
        <v>765</v>
      </c>
      <c r="C237" s="330" t="s">
        <v>766</v>
      </c>
      <c r="D237" s="387" t="s">
        <v>341</v>
      </c>
      <c r="E237" s="384">
        <v>2.1380000000000052</v>
      </c>
      <c r="F237" s="387"/>
    </row>
    <row r="238" spans="2:8">
      <c r="B238" s="330" t="s">
        <v>756</v>
      </c>
      <c r="C238" s="330" t="s">
        <v>603</v>
      </c>
      <c r="D238" s="387" t="s">
        <v>341</v>
      </c>
      <c r="E238" s="384">
        <v>1.0279999999999938</v>
      </c>
      <c r="F238" s="387"/>
    </row>
    <row r="239" spans="2:8">
      <c r="B239" s="330" t="s">
        <v>767</v>
      </c>
      <c r="C239" s="330" t="s">
        <v>766</v>
      </c>
      <c r="D239" s="387" t="s">
        <v>341</v>
      </c>
      <c r="E239" s="384">
        <v>4.2980000000000018</v>
      </c>
      <c r="F239" s="387"/>
    </row>
    <row r="240" spans="2:8">
      <c r="B240" s="330" t="s">
        <v>757</v>
      </c>
      <c r="C240" s="330" t="s">
        <v>603</v>
      </c>
      <c r="D240" s="387" t="s">
        <v>341</v>
      </c>
      <c r="E240" s="384">
        <v>0.96000000000000085</v>
      </c>
      <c r="F240" s="387"/>
    </row>
    <row r="241" spans="2:6">
      <c r="B241" s="330" t="s">
        <v>768</v>
      </c>
      <c r="C241" s="330" t="s">
        <v>766</v>
      </c>
      <c r="D241" s="387" t="s">
        <v>341</v>
      </c>
      <c r="E241" s="384">
        <v>2.195999999999998</v>
      </c>
      <c r="F241" s="387"/>
    </row>
    <row r="242" spans="2:6">
      <c r="B242" s="330" t="s">
        <v>769</v>
      </c>
      <c r="C242" s="330" t="s">
        <v>603</v>
      </c>
      <c r="D242" s="387" t="s">
        <v>341</v>
      </c>
      <c r="E242" s="384">
        <v>0</v>
      </c>
      <c r="F242" s="387"/>
    </row>
    <row r="243" spans="2:6">
      <c r="B243" s="330" t="s">
        <v>770</v>
      </c>
      <c r="C243" s="330" t="s">
        <v>766</v>
      </c>
      <c r="D243" s="387" t="s">
        <v>341</v>
      </c>
      <c r="E243" s="384">
        <v>3.5090000000000003</v>
      </c>
      <c r="F243" s="387"/>
    </row>
    <row r="244" spans="2:6">
      <c r="B244" s="330" t="s">
        <v>758</v>
      </c>
      <c r="C244" s="330" t="s">
        <v>603</v>
      </c>
      <c r="D244" s="387" t="s">
        <v>341</v>
      </c>
      <c r="E244" s="384">
        <v>0.75900000000000034</v>
      </c>
      <c r="F244" s="387"/>
    </row>
    <row r="245" spans="2:6">
      <c r="B245" s="330" t="s">
        <v>771</v>
      </c>
      <c r="C245" s="330" t="s">
        <v>766</v>
      </c>
      <c r="D245" s="387" t="s">
        <v>341</v>
      </c>
      <c r="E245" s="384">
        <v>3.9200000000000017</v>
      </c>
      <c r="F245" s="387"/>
    </row>
    <row r="246" spans="2:6">
      <c r="B246" s="330" t="s">
        <v>772</v>
      </c>
      <c r="C246" s="330" t="s">
        <v>603</v>
      </c>
      <c r="D246" s="387" t="s">
        <v>341</v>
      </c>
      <c r="E246" s="384">
        <v>0</v>
      </c>
      <c r="F246" s="387"/>
    </row>
    <row r="247" spans="2:6">
      <c r="B247" s="330" t="s">
        <v>773</v>
      </c>
      <c r="C247" s="330" t="s">
        <v>766</v>
      </c>
      <c r="D247" s="387" t="s">
        <v>341</v>
      </c>
      <c r="E247" s="384">
        <v>3.6099999999999994</v>
      </c>
      <c r="F247" s="387"/>
    </row>
    <row r="248" spans="2:6">
      <c r="B248" s="330" t="s">
        <v>774</v>
      </c>
      <c r="C248" s="330" t="s">
        <v>603</v>
      </c>
      <c r="D248" s="387" t="s">
        <v>341</v>
      </c>
      <c r="E248" s="384">
        <v>0</v>
      </c>
      <c r="F248" s="387"/>
    </row>
    <row r="249" spans="2:6">
      <c r="B249" s="330" t="s">
        <v>775</v>
      </c>
      <c r="C249" s="330" t="s">
        <v>766</v>
      </c>
      <c r="D249" s="387" t="s">
        <v>341</v>
      </c>
      <c r="E249" s="384">
        <v>1.642000000000003</v>
      </c>
      <c r="F249" s="387"/>
    </row>
    <row r="250" spans="2:6">
      <c r="B250" s="330" t="s">
        <v>759</v>
      </c>
      <c r="C250" s="330" t="s">
        <v>603</v>
      </c>
      <c r="D250" s="387" t="s">
        <v>341</v>
      </c>
      <c r="E250" s="384">
        <v>0.75</v>
      </c>
      <c r="F250" s="387"/>
    </row>
    <row r="251" spans="2:6">
      <c r="B251" s="330" t="s">
        <v>776</v>
      </c>
      <c r="C251" s="330" t="s">
        <v>766</v>
      </c>
      <c r="D251" s="387" t="s">
        <v>341</v>
      </c>
      <c r="E251" s="384">
        <v>1.7749999999999986</v>
      </c>
      <c r="F251" s="387"/>
    </row>
    <row r="252" spans="2:6">
      <c r="B252" s="330" t="s">
        <v>777</v>
      </c>
      <c r="C252" s="330" t="s">
        <v>603</v>
      </c>
      <c r="D252" s="387" t="s">
        <v>341</v>
      </c>
      <c r="E252" s="384">
        <v>0</v>
      </c>
      <c r="F252" s="387"/>
    </row>
    <row r="253" spans="2:6">
      <c r="B253" s="330" t="s">
        <v>778</v>
      </c>
      <c r="C253" s="330" t="s">
        <v>766</v>
      </c>
      <c r="D253" s="387" t="s">
        <v>341</v>
      </c>
      <c r="E253" s="384">
        <v>2.5999999999999979</v>
      </c>
      <c r="F253" s="387"/>
    </row>
    <row r="254" spans="2:6">
      <c r="B254" s="330" t="s">
        <v>760</v>
      </c>
      <c r="C254" s="330" t="s">
        <v>603</v>
      </c>
      <c r="D254" s="387" t="s">
        <v>341</v>
      </c>
      <c r="E254" s="384">
        <v>0.80100000000000071</v>
      </c>
      <c r="F254" s="387"/>
    </row>
    <row r="255" spans="2:6">
      <c r="B255" s="330" t="s">
        <v>779</v>
      </c>
      <c r="C255" s="330" t="s">
        <v>766</v>
      </c>
      <c r="D255" s="387" t="s">
        <v>341</v>
      </c>
      <c r="E255" s="384">
        <v>3.6030000000000015</v>
      </c>
      <c r="F255" s="387"/>
    </row>
    <row r="256" spans="2:6">
      <c r="B256" s="330" t="s">
        <v>780</v>
      </c>
      <c r="C256" s="330" t="s">
        <v>603</v>
      </c>
      <c r="D256" s="387" t="s">
        <v>341</v>
      </c>
      <c r="E256" s="384">
        <v>0</v>
      </c>
      <c r="F256" s="387"/>
    </row>
    <row r="257" spans="2:6">
      <c r="B257" s="330" t="s">
        <v>781</v>
      </c>
      <c r="C257" s="330" t="s">
        <v>766</v>
      </c>
      <c r="D257" s="387" t="s">
        <v>341</v>
      </c>
      <c r="E257" s="384">
        <v>2.759999999999998</v>
      </c>
      <c r="F257" s="387"/>
    </row>
    <row r="258" spans="2:6">
      <c r="B258" s="330" t="s">
        <v>761</v>
      </c>
      <c r="C258" s="330" t="s">
        <v>603</v>
      </c>
      <c r="D258" s="387" t="s">
        <v>341</v>
      </c>
      <c r="E258" s="384">
        <v>0</v>
      </c>
      <c r="F258" s="387"/>
    </row>
    <row r="259" spans="2:6">
      <c r="B259" s="330" t="s">
        <v>782</v>
      </c>
      <c r="C259" s="330" t="s">
        <v>766</v>
      </c>
      <c r="D259" s="387" t="s">
        <v>341</v>
      </c>
      <c r="E259" s="384">
        <v>3.4750000000000014</v>
      </c>
      <c r="F259" s="387"/>
    </row>
    <row r="260" spans="2:6">
      <c r="B260" s="330" t="s">
        <v>783</v>
      </c>
      <c r="C260" s="330" t="s">
        <v>603</v>
      </c>
      <c r="D260" s="387" t="s">
        <v>341</v>
      </c>
      <c r="E260" s="384">
        <v>0</v>
      </c>
      <c r="F260" s="387"/>
    </row>
    <row r="261" spans="2:6">
      <c r="B261" s="330" t="s">
        <v>784</v>
      </c>
      <c r="C261" s="330" t="s">
        <v>766</v>
      </c>
      <c r="D261" s="387" t="s">
        <v>341</v>
      </c>
      <c r="E261" s="384">
        <v>3.6689999999999987</v>
      </c>
      <c r="F261" s="387"/>
    </row>
    <row r="262" spans="2:6">
      <c r="B262" s="330" t="s">
        <v>762</v>
      </c>
      <c r="C262" s="330" t="s">
        <v>603</v>
      </c>
      <c r="D262" s="387" t="s">
        <v>341</v>
      </c>
      <c r="E262" s="384">
        <v>0.93600000000000172</v>
      </c>
      <c r="F262" s="387"/>
    </row>
    <row r="263" spans="2:6">
      <c r="B263" s="330" t="s">
        <v>785</v>
      </c>
      <c r="C263" s="330" t="s">
        <v>766</v>
      </c>
      <c r="D263" s="387" t="s">
        <v>341</v>
      </c>
      <c r="E263" s="384">
        <v>2.2939999999999987</v>
      </c>
      <c r="F263" s="387"/>
    </row>
    <row r="264" spans="2:6">
      <c r="B264" s="330" t="s">
        <v>786</v>
      </c>
      <c r="C264" s="330" t="s">
        <v>603</v>
      </c>
      <c r="D264" s="387" t="s">
        <v>341</v>
      </c>
      <c r="E264" s="384">
        <v>0</v>
      </c>
      <c r="F264" s="387"/>
    </row>
    <row r="265" spans="2:6">
      <c r="B265" s="330" t="s">
        <v>787</v>
      </c>
      <c r="C265" s="330" t="s">
        <v>766</v>
      </c>
      <c r="D265" s="387" t="s">
        <v>341</v>
      </c>
      <c r="E265" s="384">
        <v>1.9100000000000001</v>
      </c>
      <c r="F265" s="387"/>
    </row>
    <row r="266" spans="2:6">
      <c r="B266" s="330" t="s">
        <v>788</v>
      </c>
      <c r="C266" s="330" t="s">
        <v>603</v>
      </c>
      <c r="D266" s="387" t="s">
        <v>341</v>
      </c>
      <c r="E266" s="384">
        <v>0</v>
      </c>
      <c r="F266" s="387"/>
    </row>
    <row r="267" spans="2:6">
      <c r="B267" s="330" t="s">
        <v>789</v>
      </c>
      <c r="C267" s="330" t="s">
        <v>766</v>
      </c>
      <c r="D267" s="387" t="s">
        <v>341</v>
      </c>
      <c r="E267" s="384">
        <v>2.1619999999999999</v>
      </c>
      <c r="F267" s="387"/>
    </row>
    <row r="268" spans="2:6">
      <c r="B268" s="330" t="s">
        <v>763</v>
      </c>
      <c r="C268" s="330" t="s">
        <v>603</v>
      </c>
      <c r="D268" s="387" t="s">
        <v>341</v>
      </c>
      <c r="E268" s="384">
        <v>0.79499999999999993</v>
      </c>
      <c r="F268" s="387"/>
    </row>
    <row r="269" spans="2:6">
      <c r="B269" s="330" t="s">
        <v>790</v>
      </c>
      <c r="C269" s="330" t="s">
        <v>766</v>
      </c>
      <c r="D269" s="387" t="s">
        <v>341</v>
      </c>
      <c r="E269" s="384">
        <v>6.6140000000000008</v>
      </c>
      <c r="F269" s="387"/>
    </row>
    <row r="270" spans="2:6">
      <c r="B270" s="330" t="s">
        <v>791</v>
      </c>
      <c r="C270" s="330" t="s">
        <v>603</v>
      </c>
      <c r="D270" s="387" t="s">
        <v>341</v>
      </c>
      <c r="E270" s="384">
        <v>1.0330000000000013</v>
      </c>
      <c r="F270" s="387"/>
    </row>
    <row r="271" spans="2:6">
      <c r="B271" s="330" t="s">
        <v>792</v>
      </c>
      <c r="C271" s="330" t="s">
        <v>766</v>
      </c>
      <c r="D271" s="384" t="s">
        <v>341</v>
      </c>
      <c r="E271" s="384">
        <v>3.4369999999999994</v>
      </c>
    </row>
    <row r="272" spans="2:6">
      <c r="B272" s="330" t="s">
        <v>793</v>
      </c>
      <c r="C272" s="330" t="s">
        <v>603</v>
      </c>
      <c r="D272" s="384" t="s">
        <v>341</v>
      </c>
      <c r="E272" s="384">
        <v>0</v>
      </c>
    </row>
    <row r="273" spans="2:5">
      <c r="B273" s="330" t="s">
        <v>794</v>
      </c>
      <c r="C273" s="330" t="s">
        <v>766</v>
      </c>
      <c r="D273" s="384" t="s">
        <v>341</v>
      </c>
      <c r="E273" s="384">
        <v>3.1420000000000012</v>
      </c>
    </row>
    <row r="274" spans="2:5">
      <c r="B274" s="330" t="s">
        <v>795</v>
      </c>
      <c r="C274" s="330" t="s">
        <v>603</v>
      </c>
      <c r="D274" s="384" t="s">
        <v>341</v>
      </c>
      <c r="E274" s="384">
        <v>0</v>
      </c>
    </row>
    <row r="275" spans="2:5">
      <c r="B275" s="330" t="s">
        <v>796</v>
      </c>
      <c r="C275" s="330" t="s">
        <v>766</v>
      </c>
      <c r="D275" s="384" t="s">
        <v>341</v>
      </c>
      <c r="E275" s="384">
        <v>1.4499999999999993</v>
      </c>
    </row>
    <row r="276" spans="2:5">
      <c r="B276" s="330" t="s">
        <v>797</v>
      </c>
      <c r="C276" s="330" t="s">
        <v>603</v>
      </c>
      <c r="D276" s="384" t="s">
        <v>341</v>
      </c>
      <c r="E276" s="384">
        <v>0</v>
      </c>
    </row>
    <row r="277" spans="2:5">
      <c r="B277" s="330" t="s">
        <v>798</v>
      </c>
      <c r="C277" s="330" t="s">
        <v>766</v>
      </c>
      <c r="D277" s="384" t="s">
        <v>341</v>
      </c>
      <c r="E277" s="384">
        <v>0.85899999999999821</v>
      </c>
    </row>
    <row r="278" spans="2:5">
      <c r="B278" s="330" t="s">
        <v>799</v>
      </c>
      <c r="C278" s="330" t="s">
        <v>603</v>
      </c>
      <c r="D278" s="384" t="s">
        <v>341</v>
      </c>
      <c r="E278" s="384">
        <v>0</v>
      </c>
    </row>
    <row r="279" spans="2:5">
      <c r="B279" s="330" t="s">
        <v>800</v>
      </c>
      <c r="C279" s="330" t="s">
        <v>766</v>
      </c>
      <c r="D279" s="384" t="s">
        <v>341</v>
      </c>
      <c r="E279" s="384">
        <v>4.9460000000000015</v>
      </c>
    </row>
    <row r="280" spans="2:5">
      <c r="B280" s="330" t="s">
        <v>801</v>
      </c>
      <c r="C280" s="330" t="s">
        <v>603</v>
      </c>
      <c r="D280" s="384" t="s">
        <v>341</v>
      </c>
      <c r="E280" s="384">
        <v>0.45899999999999963</v>
      </c>
    </row>
    <row r="284" spans="2:5">
      <c r="B284" s="415" t="s">
        <v>330</v>
      </c>
      <c r="C284" s="904" t="s">
        <v>326</v>
      </c>
      <c r="D284" s="904"/>
    </row>
    <row r="285" spans="2:5" ht="32.25" customHeight="1">
      <c r="B285" s="395" t="s">
        <v>325</v>
      </c>
      <c r="C285" s="396" t="s">
        <v>318</v>
      </c>
      <c r="D285" s="396" t="s">
        <v>319</v>
      </c>
    </row>
    <row r="286" spans="2:5">
      <c r="B286" s="416" t="s">
        <v>327</v>
      </c>
      <c r="C286" s="417">
        <f>Parametre!C55</f>
        <v>16179.421379327618</v>
      </c>
      <c r="D286" s="417">
        <f>Parametre!D55</f>
        <v>19744.268092460672</v>
      </c>
    </row>
    <row r="287" spans="2:5">
      <c r="B287" s="416" t="s">
        <v>328</v>
      </c>
      <c r="C287" s="417">
        <f>Parametre!C56</f>
        <v>10298.011269734887</v>
      </c>
      <c r="D287" s="417">
        <f>Parametre!D56</f>
        <v>10298.011269734887</v>
      </c>
    </row>
    <row r="288" spans="2:5" ht="15.75" thickBot="1">
      <c r="B288" s="399" t="s">
        <v>676</v>
      </c>
      <c r="C288" s="331"/>
      <c r="D288" s="331"/>
    </row>
    <row r="289" spans="2:7" ht="42" customHeight="1">
      <c r="B289" s="399"/>
      <c r="C289" s="907" t="s">
        <v>599</v>
      </c>
      <c r="D289" s="909" t="s">
        <v>840</v>
      </c>
      <c r="E289" s="910"/>
      <c r="F289" s="909" t="s">
        <v>808</v>
      </c>
      <c r="G289" s="910"/>
    </row>
    <row r="290" spans="2:7" ht="15.75" thickBot="1">
      <c r="B290" s="399"/>
      <c r="C290" s="908"/>
      <c r="D290" s="400" t="s">
        <v>671</v>
      </c>
      <c r="E290" s="401" t="s">
        <v>672</v>
      </c>
      <c r="F290" s="400" t="s">
        <v>671</v>
      </c>
      <c r="G290" s="401" t="s">
        <v>672</v>
      </c>
    </row>
    <row r="291" spans="2:7">
      <c r="B291" s="402" t="s">
        <v>677</v>
      </c>
      <c r="C291" s="403">
        <f>SUM(D295:D339)</f>
        <v>24.023</v>
      </c>
      <c r="D291" s="404">
        <f>C291-E291</f>
        <v>24.023</v>
      </c>
      <c r="E291" s="405">
        <v>0</v>
      </c>
      <c r="F291" s="404">
        <f>C291-G291</f>
        <v>24.023</v>
      </c>
      <c r="G291" s="405">
        <v>0</v>
      </c>
    </row>
    <row r="292" spans="2:7" ht="15.75" thickBot="1">
      <c r="B292" s="410" t="s">
        <v>317</v>
      </c>
      <c r="C292" s="411" t="str">
        <f>D285</f>
        <v>nad 10 mil. hrubých ton/rok</v>
      </c>
      <c r="D292" s="418" t="s">
        <v>319</v>
      </c>
      <c r="E292" s="412" t="s">
        <v>319</v>
      </c>
      <c r="F292" s="418" t="s">
        <v>319</v>
      </c>
      <c r="G292" s="412" t="s">
        <v>319</v>
      </c>
    </row>
    <row r="294" spans="2:7" ht="30">
      <c r="D294" s="414" t="s">
        <v>678</v>
      </c>
      <c r="E294" s="413"/>
    </row>
    <row r="295" spans="2:7">
      <c r="B295" s="330" t="str">
        <f t="shared" ref="B295:C310" si="91">B236</f>
        <v>Prešov</v>
      </c>
      <c r="C295" s="330" t="str">
        <f t="shared" si="91"/>
        <v>Stanica</v>
      </c>
      <c r="D295" s="387">
        <v>6.7239999999999993</v>
      </c>
    </row>
    <row r="296" spans="2:7">
      <c r="B296" s="330" t="str">
        <f t="shared" si="91"/>
        <v xml:space="preserve">Prešov/mimo/ - Šarišské Lúky/mimo/ </v>
      </c>
      <c r="C296" s="330" t="str">
        <f t="shared" si="91"/>
        <v>Medzistaničný úsek</v>
      </c>
      <c r="D296" s="384">
        <v>0</v>
      </c>
    </row>
    <row r="297" spans="2:7">
      <c r="B297" s="330" t="str">
        <f t="shared" si="91"/>
        <v>Šarišské Lúky</v>
      </c>
      <c r="C297" s="330" t="str">
        <f t="shared" si="91"/>
        <v>Stanica</v>
      </c>
      <c r="D297" s="384">
        <v>1.4220000000000002</v>
      </c>
    </row>
    <row r="298" spans="2:7">
      <c r="B298" s="330" t="str">
        <f t="shared" si="91"/>
        <v xml:space="preserve">Šarišské Lúky/mimo/  - Kapušany pri Prešove/mimo/ </v>
      </c>
      <c r="C298" s="330" t="str">
        <f t="shared" si="91"/>
        <v>Medzistaničný úsek</v>
      </c>
      <c r="D298" s="384">
        <v>0</v>
      </c>
    </row>
    <row r="299" spans="2:7">
      <c r="B299" s="330" t="str">
        <f t="shared" si="91"/>
        <v>Kapušany pri Prešove</v>
      </c>
      <c r="C299" s="330" t="str">
        <f t="shared" si="91"/>
        <v>Stanica</v>
      </c>
      <c r="D299" s="384">
        <v>2.5430000000000001</v>
      </c>
    </row>
    <row r="300" spans="2:7">
      <c r="B300" s="330" t="str">
        <f t="shared" si="91"/>
        <v>Kapušany pri Prešove/mimo/  - Lada</v>
      </c>
      <c r="C300" s="330" t="str">
        <f t="shared" si="91"/>
        <v>Medzistaničný úsek</v>
      </c>
      <c r="D300" s="384">
        <v>0</v>
      </c>
    </row>
    <row r="301" spans="2:7">
      <c r="B301" s="330" t="str">
        <f t="shared" si="91"/>
        <v>Lada</v>
      </c>
      <c r="C301" s="330" t="str">
        <f t="shared" si="91"/>
        <v>Stanica</v>
      </c>
      <c r="D301" s="384">
        <v>0</v>
      </c>
    </row>
    <row r="302" spans="2:7">
      <c r="B302" s="330" t="str">
        <f t="shared" si="91"/>
        <v xml:space="preserve">Lada  - Lipníky/mimo/ </v>
      </c>
      <c r="C302" s="330" t="str">
        <f t="shared" si="91"/>
        <v>Medzistaničný úsek</v>
      </c>
      <c r="D302" s="384">
        <v>0</v>
      </c>
    </row>
    <row r="303" spans="2:7">
      <c r="B303" s="330" t="str">
        <f t="shared" si="91"/>
        <v>Lipníky</v>
      </c>
      <c r="C303" s="330" t="str">
        <f t="shared" si="91"/>
        <v>Stanica</v>
      </c>
      <c r="D303" s="384">
        <v>0.75900000000000001</v>
      </c>
    </row>
    <row r="304" spans="2:7">
      <c r="B304" s="330" t="str">
        <f t="shared" si="91"/>
        <v>Lipníky/mimo/  - Pavlovce</v>
      </c>
      <c r="C304" s="330" t="str">
        <f t="shared" si="91"/>
        <v>Medzistaničný úsek</v>
      </c>
      <c r="D304" s="384">
        <v>0</v>
      </c>
    </row>
    <row r="305" spans="2:4">
      <c r="B305" s="330" t="str">
        <f t="shared" si="91"/>
        <v>Pavlovce</v>
      </c>
      <c r="C305" s="330" t="str">
        <f t="shared" si="91"/>
        <v>Stanica</v>
      </c>
      <c r="D305" s="384">
        <v>0</v>
      </c>
    </row>
    <row r="306" spans="2:4">
      <c r="B306" s="330" t="str">
        <f t="shared" si="91"/>
        <v>Pavlovce  - Hanušovce nad Topľou mesto</v>
      </c>
      <c r="C306" s="330" t="str">
        <f t="shared" si="91"/>
        <v>Medzistaničný úsek</v>
      </c>
      <c r="D306" s="384">
        <v>0</v>
      </c>
    </row>
    <row r="307" spans="2:4">
      <c r="B307" s="330" t="str">
        <f t="shared" si="91"/>
        <v>Hanušovce nad Topľou mesto</v>
      </c>
      <c r="C307" s="330" t="str">
        <f t="shared" si="91"/>
        <v>Stanica</v>
      </c>
      <c r="D307" s="384">
        <v>0</v>
      </c>
    </row>
    <row r="308" spans="2:4">
      <c r="B308" s="330" t="str">
        <f t="shared" si="91"/>
        <v xml:space="preserve">Hanušovce nad Topľou mesto  - Hanušovce nad Topľou/mimo/ </v>
      </c>
      <c r="C308" s="330" t="str">
        <f t="shared" si="91"/>
        <v>Medzistaničný úsek</v>
      </c>
      <c r="D308" s="384">
        <v>0</v>
      </c>
    </row>
    <row r="309" spans="2:4">
      <c r="B309" s="330" t="str">
        <f t="shared" si="91"/>
        <v>Hanušovce nad Topľou</v>
      </c>
      <c r="C309" s="330" t="str">
        <f t="shared" si="91"/>
        <v>Stanica</v>
      </c>
      <c r="D309" s="384">
        <v>1.319</v>
      </c>
    </row>
    <row r="310" spans="2:4">
      <c r="B310" s="330" t="str">
        <f t="shared" si="91"/>
        <v>Hanušovce nad Topľou/mimo/  - Bystré</v>
      </c>
      <c r="C310" s="330" t="str">
        <f t="shared" si="91"/>
        <v>Medzistaničný úsek</v>
      </c>
      <c r="D310" s="384">
        <v>0</v>
      </c>
    </row>
    <row r="311" spans="2:4">
      <c r="B311" s="330" t="str">
        <f t="shared" ref="B311:C326" si="92">B252</f>
        <v>Bystré</v>
      </c>
      <c r="C311" s="330" t="str">
        <f t="shared" si="92"/>
        <v>Stanica</v>
      </c>
      <c r="D311" s="384">
        <v>0</v>
      </c>
    </row>
    <row r="312" spans="2:4">
      <c r="B312" s="330" t="str">
        <f t="shared" si="92"/>
        <v xml:space="preserve">Bystré  - Čierne nad Topľou/mimo/ </v>
      </c>
      <c r="C312" s="330" t="str">
        <f t="shared" si="92"/>
        <v>Medzistaničný úsek</v>
      </c>
      <c r="D312" s="384">
        <v>0</v>
      </c>
    </row>
    <row r="313" spans="2:4">
      <c r="B313" s="330" t="str">
        <f t="shared" si="92"/>
        <v>Čierne nad Topľou</v>
      </c>
      <c r="C313" s="330" t="str">
        <f t="shared" si="92"/>
        <v>Stanica</v>
      </c>
      <c r="D313" s="384">
        <v>1.5</v>
      </c>
    </row>
    <row r="314" spans="2:4">
      <c r="B314" s="330" t="str">
        <f t="shared" si="92"/>
        <v>Čierne nad Topľou/mimo/  - Hlinné</v>
      </c>
      <c r="C314" s="330" t="str">
        <f t="shared" si="92"/>
        <v>Medzistaničný úsek</v>
      </c>
      <c r="D314" s="384">
        <v>0</v>
      </c>
    </row>
    <row r="315" spans="2:4">
      <c r="B315" s="330" t="str">
        <f t="shared" si="92"/>
        <v>Hlinné</v>
      </c>
      <c r="C315" s="330" t="str">
        <f t="shared" si="92"/>
        <v>Stanica</v>
      </c>
      <c r="D315" s="384">
        <v>0</v>
      </c>
    </row>
    <row r="316" spans="2:4">
      <c r="B316" s="330" t="str">
        <f t="shared" si="92"/>
        <v>Hlinné - Soľ</v>
      </c>
      <c r="C316" s="330" t="str">
        <f t="shared" si="92"/>
        <v>Medzistaničný úsek</v>
      </c>
      <c r="D316" s="384">
        <v>0</v>
      </c>
    </row>
    <row r="317" spans="2:4">
      <c r="B317" s="330" t="str">
        <f t="shared" si="92"/>
        <v>Soľ</v>
      </c>
      <c r="C317" s="330" t="str">
        <f t="shared" si="92"/>
        <v>Stanica</v>
      </c>
      <c r="D317" s="384">
        <v>0</v>
      </c>
    </row>
    <row r="318" spans="2:4">
      <c r="B318" s="330" t="str">
        <f t="shared" si="92"/>
        <v xml:space="preserve">Soľ  - Komárany </v>
      </c>
      <c r="C318" s="330" t="str">
        <f t="shared" si="92"/>
        <v>Medzistaničný úsek</v>
      </c>
      <c r="D318" s="384">
        <v>0</v>
      </c>
    </row>
    <row r="319" spans="2:4">
      <c r="B319" s="330" t="str">
        <f t="shared" si="92"/>
        <v>Komárany</v>
      </c>
      <c r="C319" s="330" t="str">
        <f t="shared" si="92"/>
        <v>Stanica</v>
      </c>
      <c r="D319" s="384">
        <v>0</v>
      </c>
    </row>
    <row r="320" spans="2:4">
      <c r="B320" s="330" t="str">
        <f t="shared" si="92"/>
        <v xml:space="preserve">Komárany  - Vranov nad Topľou/mimo/ </v>
      </c>
      <c r="C320" s="330" t="str">
        <f t="shared" si="92"/>
        <v>Medzistaničný úsek</v>
      </c>
      <c r="D320" s="384">
        <v>0</v>
      </c>
    </row>
    <row r="321" spans="2:4">
      <c r="B321" s="330" t="str">
        <f t="shared" si="92"/>
        <v>Vranov nad Topľou</v>
      </c>
      <c r="C321" s="330" t="str">
        <f t="shared" si="92"/>
        <v>Stanica</v>
      </c>
      <c r="D321" s="384">
        <v>3.1640000000000001</v>
      </c>
    </row>
    <row r="322" spans="2:4">
      <c r="B322" s="330" t="str">
        <f t="shared" si="92"/>
        <v>Vranov nad Topľou/mimo/  - Vranovské Dlhé</v>
      </c>
      <c r="C322" s="330" t="str">
        <f t="shared" si="92"/>
        <v>Medzistaničný úsek</v>
      </c>
      <c r="D322" s="384">
        <v>0</v>
      </c>
    </row>
    <row r="323" spans="2:4">
      <c r="B323" s="330" t="str">
        <f t="shared" si="92"/>
        <v>Vranovské Dlhé</v>
      </c>
      <c r="C323" s="330" t="str">
        <f t="shared" si="92"/>
        <v>Stanica</v>
      </c>
      <c r="D323" s="384">
        <v>0</v>
      </c>
    </row>
    <row r="324" spans="2:4">
      <c r="B324" s="330" t="str">
        <f t="shared" si="92"/>
        <v>Vranovské Dlhé  - Hencovce</v>
      </c>
      <c r="C324" s="330" t="str">
        <f t="shared" si="92"/>
        <v>Medzistaničný úsek</v>
      </c>
      <c r="D324" s="384">
        <v>0</v>
      </c>
    </row>
    <row r="325" spans="2:4">
      <c r="B325" s="330" t="str">
        <f t="shared" si="92"/>
        <v>Hencovce</v>
      </c>
      <c r="C325" s="330" t="str">
        <f t="shared" si="92"/>
        <v>Stanica</v>
      </c>
      <c r="D325" s="384">
        <v>0</v>
      </c>
    </row>
    <row r="326" spans="2:4">
      <c r="B326" s="330" t="str">
        <f t="shared" si="92"/>
        <v xml:space="preserve">Hencovce  - Nižný Hrabovec/mimo/ </v>
      </c>
      <c r="C326" s="330" t="str">
        <f t="shared" si="92"/>
        <v>Medzistaničný úsek</v>
      </c>
      <c r="D326" s="384">
        <v>0</v>
      </c>
    </row>
    <row r="327" spans="2:4">
      <c r="B327" s="330" t="str">
        <f t="shared" ref="B327:C339" si="93">B268</f>
        <v>Nižný Hrabovec</v>
      </c>
      <c r="C327" s="330" t="str">
        <f t="shared" si="93"/>
        <v>Stanica</v>
      </c>
      <c r="D327" s="384">
        <v>1.5289999999999999</v>
      </c>
    </row>
    <row r="328" spans="2:4">
      <c r="B328" s="330" t="str">
        <f t="shared" si="93"/>
        <v xml:space="preserve">Nižný Hrabovec/mimo/  - Strážske/mimo/ </v>
      </c>
      <c r="C328" s="330" t="str">
        <f t="shared" si="93"/>
        <v>Medzistaničný úsek</v>
      </c>
      <c r="D328" s="384">
        <v>0</v>
      </c>
    </row>
    <row r="329" spans="2:4">
      <c r="B329" s="330" t="str">
        <f t="shared" si="93"/>
        <v>Strážske</v>
      </c>
      <c r="C329" s="330" t="str">
        <f t="shared" si="93"/>
        <v>Stanica</v>
      </c>
      <c r="D329" s="384">
        <v>4.6040000000000001</v>
      </c>
    </row>
    <row r="330" spans="2:4">
      <c r="B330" s="330" t="str">
        <f t="shared" si="93"/>
        <v>Kapušany pri Prešove/mimo/ - Fulianka/mimo/</v>
      </c>
      <c r="C330" s="330" t="str">
        <f t="shared" si="93"/>
        <v>Medzistaničný úsek</v>
      </c>
      <c r="D330" s="384">
        <v>0</v>
      </c>
    </row>
    <row r="331" spans="2:4">
      <c r="B331" s="330" t="str">
        <f t="shared" si="93"/>
        <v>Fulianka</v>
      </c>
      <c r="C331" s="330" t="str">
        <f t="shared" si="93"/>
        <v>Stanica</v>
      </c>
      <c r="D331" s="384">
        <v>0</v>
      </c>
    </row>
    <row r="332" spans="2:4">
      <c r="B332" s="330" t="str">
        <f t="shared" si="93"/>
        <v>Fulianka/mimo/ - Tulčík/mimo/</v>
      </c>
      <c r="C332" s="330" t="str">
        <f t="shared" si="93"/>
        <v>Medzistaničný úsek</v>
      </c>
      <c r="D332" s="384">
        <v>0</v>
      </c>
    </row>
    <row r="333" spans="2:4">
      <c r="B333" s="330" t="str">
        <f t="shared" si="93"/>
        <v>Tulčík</v>
      </c>
      <c r="C333" s="330" t="str">
        <f t="shared" si="93"/>
        <v>Stanica</v>
      </c>
      <c r="D333" s="384">
        <v>0</v>
      </c>
    </row>
    <row r="334" spans="2:4">
      <c r="B334" s="330" t="str">
        <f t="shared" si="93"/>
        <v>Tulčík/mimo/ - Demjata/mimo/</v>
      </c>
      <c r="C334" s="330" t="str">
        <f t="shared" si="93"/>
        <v>Medzistaničný úsek</v>
      </c>
      <c r="D334" s="384">
        <v>0</v>
      </c>
    </row>
    <row r="335" spans="2:4">
      <c r="B335" s="330" t="str">
        <f t="shared" si="93"/>
        <v>Demjata</v>
      </c>
      <c r="C335" s="330" t="str">
        <f t="shared" si="93"/>
        <v>Stanica</v>
      </c>
      <c r="D335" s="384">
        <v>0</v>
      </c>
    </row>
    <row r="336" spans="2:4">
      <c r="B336" s="330" t="str">
        <f t="shared" si="93"/>
        <v>Demjata/mimo/ - Demjata obec/mimo/</v>
      </c>
      <c r="C336" s="330" t="str">
        <f t="shared" si="93"/>
        <v>Medzistaničný úsek</v>
      </c>
      <c r="D336" s="384">
        <v>0</v>
      </c>
    </row>
    <row r="337" spans="2:11">
      <c r="B337" s="330" t="str">
        <f t="shared" si="93"/>
        <v>Demjata obec</v>
      </c>
      <c r="C337" s="330" t="str">
        <f t="shared" si="93"/>
        <v>Stanica</v>
      </c>
      <c r="D337" s="384">
        <v>0</v>
      </c>
    </row>
    <row r="338" spans="2:11">
      <c r="B338" s="330" t="str">
        <f t="shared" si="93"/>
        <v>Demjata obec/mimo/ - Raslavice/mimo/</v>
      </c>
      <c r="C338" s="330" t="str">
        <f t="shared" si="93"/>
        <v>Medzistaničný úsek</v>
      </c>
      <c r="D338" s="384">
        <v>0</v>
      </c>
    </row>
    <row r="339" spans="2:11">
      <c r="B339" s="330" t="str">
        <f t="shared" si="93"/>
        <v>Raslavice</v>
      </c>
      <c r="C339" s="330" t="str">
        <f t="shared" si="93"/>
        <v>Stanica</v>
      </c>
      <c r="D339" s="384">
        <v>0.45900000000000002</v>
      </c>
    </row>
    <row r="343" spans="2:11">
      <c r="B343" s="415" t="s">
        <v>331</v>
      </c>
      <c r="C343" s="904" t="s">
        <v>329</v>
      </c>
      <c r="D343" s="904"/>
    </row>
    <row r="344" spans="2:11" ht="27" customHeight="1">
      <c r="B344" s="395" t="s">
        <v>316</v>
      </c>
      <c r="C344" s="396" t="s">
        <v>318</v>
      </c>
      <c r="D344" s="396" t="s">
        <v>319</v>
      </c>
    </row>
    <row r="345" spans="2:11">
      <c r="B345" s="397" t="s">
        <v>327</v>
      </c>
      <c r="C345" s="419">
        <f>Parametre!C61</f>
        <v>3632.6740197861509</v>
      </c>
      <c r="D345" s="419">
        <f>Parametre!D61</f>
        <v>6606.6405422681701</v>
      </c>
    </row>
    <row r="346" spans="2:11">
      <c r="B346" s="397" t="s">
        <v>328</v>
      </c>
      <c r="C346" s="419">
        <f>Parametre!C62</f>
        <v>3220.4926947403974</v>
      </c>
      <c r="D346" s="419">
        <f>Parametre!D62</f>
        <v>3379.6259911188213</v>
      </c>
    </row>
    <row r="347" spans="2:11" ht="15.75" thickBot="1">
      <c r="B347" s="399" t="s">
        <v>679</v>
      </c>
      <c r="C347" s="331"/>
      <c r="D347" s="331"/>
    </row>
    <row r="348" spans="2:11" ht="50.25" customHeight="1">
      <c r="C348" s="907" t="s">
        <v>599</v>
      </c>
      <c r="D348" s="926" t="s">
        <v>840</v>
      </c>
      <c r="E348" s="927"/>
      <c r="F348" s="928"/>
      <c r="G348" s="926" t="s">
        <v>841</v>
      </c>
      <c r="H348" s="927"/>
      <c r="I348" s="928"/>
    </row>
    <row r="349" spans="2:11" ht="15.75" thickBot="1">
      <c r="C349" s="908"/>
      <c r="D349" s="400" t="s">
        <v>671</v>
      </c>
      <c r="E349" s="606" t="s">
        <v>680</v>
      </c>
      <c r="F349" s="401" t="s">
        <v>672</v>
      </c>
      <c r="G349" s="400" t="s">
        <v>671</v>
      </c>
      <c r="H349" s="606" t="s">
        <v>680</v>
      </c>
      <c r="I349" s="401" t="s">
        <v>672</v>
      </c>
    </row>
    <row r="350" spans="2:11">
      <c r="B350" s="402" t="s">
        <v>664</v>
      </c>
      <c r="C350" s="420">
        <f>SUM(D354:D398)</f>
        <v>90</v>
      </c>
      <c r="D350" s="607">
        <f t="shared" ref="D350:I350" si="94">SUM(D731:D733)</f>
        <v>79</v>
      </c>
      <c r="E350" s="608">
        <f t="shared" si="94"/>
        <v>10</v>
      </c>
      <c r="F350" s="609">
        <f t="shared" si="94"/>
        <v>1</v>
      </c>
      <c r="G350" s="607">
        <f t="shared" si="94"/>
        <v>48</v>
      </c>
      <c r="H350" s="608">
        <f t="shared" si="94"/>
        <v>38</v>
      </c>
      <c r="I350" s="609">
        <f t="shared" si="94"/>
        <v>4</v>
      </c>
      <c r="J350" s="421">
        <v>59</v>
      </c>
      <c r="K350" s="421">
        <v>15</v>
      </c>
    </row>
    <row r="351" spans="2:11" ht="15.75" thickBot="1">
      <c r="B351" s="410" t="s">
        <v>317</v>
      </c>
      <c r="C351" s="411" t="str">
        <f>D344</f>
        <v>nad 10 mil. hrubých ton/rok</v>
      </c>
      <c r="D351" s="418" t="s">
        <v>319</v>
      </c>
      <c r="E351" s="610" t="s">
        <v>319</v>
      </c>
      <c r="F351" s="412" t="s">
        <v>319</v>
      </c>
      <c r="G351" s="418" t="s">
        <v>319</v>
      </c>
      <c r="H351" s="610" t="s">
        <v>319</v>
      </c>
      <c r="I351" s="412" t="s">
        <v>319</v>
      </c>
    </row>
    <row r="352" spans="2:11">
      <c r="C352" s="331"/>
      <c r="D352" s="331"/>
    </row>
    <row r="353" spans="2:8" ht="30">
      <c r="D353" s="414" t="s">
        <v>681</v>
      </c>
    </row>
    <row r="354" spans="2:8">
      <c r="B354" s="330" t="str">
        <f t="shared" ref="B354:C369" si="95">B295</f>
        <v>Prešov</v>
      </c>
      <c r="C354" s="330" t="str">
        <f t="shared" si="95"/>
        <v>Stanica</v>
      </c>
      <c r="D354" s="387">
        <v>0</v>
      </c>
      <c r="H354" s="465"/>
    </row>
    <row r="355" spans="2:8">
      <c r="B355" s="330" t="str">
        <f t="shared" si="95"/>
        <v xml:space="preserve">Prešov/mimo/ - Šarišské Lúky/mimo/ </v>
      </c>
      <c r="C355" s="330" t="str">
        <f t="shared" si="95"/>
        <v>Medzistaničný úsek</v>
      </c>
      <c r="D355" s="387">
        <v>0</v>
      </c>
    </row>
    <row r="356" spans="2:8">
      <c r="B356" s="330" t="str">
        <f t="shared" si="95"/>
        <v>Šarišské Lúky</v>
      </c>
      <c r="C356" s="330" t="str">
        <f t="shared" si="95"/>
        <v>Stanica</v>
      </c>
      <c r="D356" s="387">
        <v>12</v>
      </c>
    </row>
    <row r="357" spans="2:8">
      <c r="B357" s="330" t="str">
        <f t="shared" si="95"/>
        <v xml:space="preserve">Šarišské Lúky/mimo/  - Kapušany pri Prešove/mimo/ </v>
      </c>
      <c r="C357" s="330" t="str">
        <f t="shared" si="95"/>
        <v>Medzistaničný úsek</v>
      </c>
      <c r="D357" s="387">
        <v>0</v>
      </c>
    </row>
    <row r="358" spans="2:8">
      <c r="B358" s="330" t="str">
        <f t="shared" si="95"/>
        <v>Kapušany pri Prešove</v>
      </c>
      <c r="C358" s="330" t="str">
        <f t="shared" si="95"/>
        <v>Stanica</v>
      </c>
      <c r="D358" s="387">
        <v>16</v>
      </c>
    </row>
    <row r="359" spans="2:8">
      <c r="B359" s="330" t="str">
        <f t="shared" si="95"/>
        <v>Kapušany pri Prešove/mimo/  - Lada</v>
      </c>
      <c r="C359" s="330" t="str">
        <f t="shared" si="95"/>
        <v>Medzistaničný úsek</v>
      </c>
      <c r="D359" s="387">
        <v>0</v>
      </c>
    </row>
    <row r="360" spans="2:8">
      <c r="B360" s="330" t="str">
        <f t="shared" si="95"/>
        <v>Lada</v>
      </c>
      <c r="C360" s="330" t="str">
        <f t="shared" si="95"/>
        <v>Stanica</v>
      </c>
      <c r="D360" s="384">
        <v>0</v>
      </c>
    </row>
    <row r="361" spans="2:8">
      <c r="B361" s="330" t="str">
        <f t="shared" si="95"/>
        <v xml:space="preserve">Lada  - Lipníky/mimo/ </v>
      </c>
      <c r="C361" s="330" t="str">
        <f t="shared" si="95"/>
        <v>Medzistaničný úsek</v>
      </c>
      <c r="D361" s="384">
        <v>0</v>
      </c>
    </row>
    <row r="362" spans="2:8">
      <c r="B362" s="330" t="str">
        <f t="shared" si="95"/>
        <v>Lipníky</v>
      </c>
      <c r="C362" s="330" t="str">
        <f t="shared" si="95"/>
        <v>Stanica</v>
      </c>
      <c r="D362" s="384">
        <v>5</v>
      </c>
    </row>
    <row r="363" spans="2:8">
      <c r="B363" s="330" t="str">
        <f t="shared" si="95"/>
        <v>Lipníky/mimo/  - Pavlovce</v>
      </c>
      <c r="C363" s="330" t="str">
        <f t="shared" si="95"/>
        <v>Medzistaničný úsek</v>
      </c>
      <c r="D363" s="384">
        <v>0</v>
      </c>
    </row>
    <row r="364" spans="2:8">
      <c r="B364" s="330" t="str">
        <f t="shared" si="95"/>
        <v>Pavlovce</v>
      </c>
      <c r="C364" s="330" t="str">
        <f t="shared" si="95"/>
        <v>Stanica</v>
      </c>
      <c r="D364" s="384">
        <v>0</v>
      </c>
    </row>
    <row r="365" spans="2:8">
      <c r="B365" s="330" t="str">
        <f t="shared" si="95"/>
        <v>Pavlovce  - Hanušovce nad Topľou mesto</v>
      </c>
      <c r="C365" s="330" t="str">
        <f t="shared" si="95"/>
        <v>Medzistaničný úsek</v>
      </c>
      <c r="D365" s="384">
        <v>0</v>
      </c>
    </row>
    <row r="366" spans="2:8">
      <c r="B366" s="330" t="str">
        <f t="shared" si="95"/>
        <v>Hanušovce nad Topľou mesto</v>
      </c>
      <c r="C366" s="330" t="str">
        <f t="shared" si="95"/>
        <v>Stanica</v>
      </c>
      <c r="D366" s="384">
        <v>0</v>
      </c>
    </row>
    <row r="367" spans="2:8">
      <c r="B367" s="330" t="str">
        <f t="shared" si="95"/>
        <v xml:space="preserve">Hanušovce nad Topľou mesto  - Hanušovce nad Topľou/mimo/ </v>
      </c>
      <c r="C367" s="330" t="str">
        <f t="shared" si="95"/>
        <v>Medzistaničný úsek</v>
      </c>
      <c r="D367" s="384">
        <v>0</v>
      </c>
    </row>
    <row r="368" spans="2:8">
      <c r="B368" s="330" t="str">
        <f t="shared" si="95"/>
        <v>Hanušovce nad Topľou</v>
      </c>
      <c r="C368" s="330" t="str">
        <f t="shared" si="95"/>
        <v>Stanica</v>
      </c>
      <c r="D368" s="384">
        <v>8</v>
      </c>
    </row>
    <row r="369" spans="2:4">
      <c r="B369" s="330" t="str">
        <f t="shared" si="95"/>
        <v>Hanušovce nad Topľou/mimo/  - Bystré</v>
      </c>
      <c r="C369" s="330" t="str">
        <f t="shared" si="95"/>
        <v>Medzistaničný úsek</v>
      </c>
      <c r="D369" s="384">
        <v>0</v>
      </c>
    </row>
    <row r="370" spans="2:4">
      <c r="B370" s="330" t="str">
        <f t="shared" ref="B370:C385" si="96">B311</f>
        <v>Bystré</v>
      </c>
      <c r="C370" s="330" t="str">
        <f t="shared" si="96"/>
        <v>Stanica</v>
      </c>
      <c r="D370" s="384">
        <v>0</v>
      </c>
    </row>
    <row r="371" spans="2:4">
      <c r="B371" s="330" t="str">
        <f t="shared" si="96"/>
        <v xml:space="preserve">Bystré  - Čierne nad Topľou/mimo/ </v>
      </c>
      <c r="C371" s="330" t="str">
        <f t="shared" si="96"/>
        <v>Medzistaničný úsek</v>
      </c>
      <c r="D371" s="384">
        <v>0</v>
      </c>
    </row>
    <row r="372" spans="2:4">
      <c r="B372" s="330" t="str">
        <f t="shared" si="96"/>
        <v>Čierne nad Topľou</v>
      </c>
      <c r="C372" s="330" t="str">
        <f t="shared" si="96"/>
        <v>Stanica</v>
      </c>
      <c r="D372" s="384">
        <v>10</v>
      </c>
    </row>
    <row r="373" spans="2:4">
      <c r="B373" s="330" t="str">
        <f t="shared" si="96"/>
        <v>Čierne nad Topľou/mimo/  - Hlinné</v>
      </c>
      <c r="C373" s="330" t="str">
        <f t="shared" si="96"/>
        <v>Medzistaničný úsek</v>
      </c>
      <c r="D373" s="384">
        <v>0</v>
      </c>
    </row>
    <row r="374" spans="2:4">
      <c r="B374" s="330" t="str">
        <f t="shared" si="96"/>
        <v>Hlinné</v>
      </c>
      <c r="C374" s="330" t="str">
        <f t="shared" si="96"/>
        <v>Stanica</v>
      </c>
      <c r="D374" s="384">
        <v>0</v>
      </c>
    </row>
    <row r="375" spans="2:4">
      <c r="B375" s="330" t="str">
        <f t="shared" si="96"/>
        <v>Hlinné - Soľ</v>
      </c>
      <c r="C375" s="330" t="str">
        <f t="shared" si="96"/>
        <v>Medzistaničný úsek</v>
      </c>
      <c r="D375" s="384">
        <v>0</v>
      </c>
    </row>
    <row r="376" spans="2:4">
      <c r="B376" s="330" t="str">
        <f t="shared" si="96"/>
        <v>Soľ</v>
      </c>
      <c r="C376" s="330" t="str">
        <f t="shared" si="96"/>
        <v>Stanica</v>
      </c>
      <c r="D376" s="384">
        <v>0</v>
      </c>
    </row>
    <row r="377" spans="2:4">
      <c r="B377" s="330" t="str">
        <f t="shared" si="96"/>
        <v xml:space="preserve">Soľ  - Komárany </v>
      </c>
      <c r="C377" s="330" t="str">
        <f t="shared" si="96"/>
        <v>Medzistaničný úsek</v>
      </c>
      <c r="D377" s="384">
        <v>0</v>
      </c>
    </row>
    <row r="378" spans="2:4">
      <c r="B378" s="330" t="str">
        <f t="shared" si="96"/>
        <v>Komárany</v>
      </c>
      <c r="C378" s="330" t="str">
        <f t="shared" si="96"/>
        <v>Stanica</v>
      </c>
      <c r="D378" s="384">
        <v>0</v>
      </c>
    </row>
    <row r="379" spans="2:4">
      <c r="B379" s="330" t="str">
        <f t="shared" si="96"/>
        <v xml:space="preserve">Komárany  - Vranov nad Topľou/mimo/ </v>
      </c>
      <c r="C379" s="330" t="str">
        <f t="shared" si="96"/>
        <v>Medzistaničný úsek</v>
      </c>
      <c r="D379" s="384">
        <v>0</v>
      </c>
    </row>
    <row r="380" spans="2:4">
      <c r="B380" s="330" t="str">
        <f t="shared" si="96"/>
        <v>Vranov nad Topľou</v>
      </c>
      <c r="C380" s="330" t="str">
        <f t="shared" si="96"/>
        <v>Stanica</v>
      </c>
      <c r="D380" s="384">
        <v>23</v>
      </c>
    </row>
    <row r="381" spans="2:4">
      <c r="B381" s="330" t="str">
        <f t="shared" si="96"/>
        <v>Vranov nad Topľou/mimo/  - Vranovské Dlhé</v>
      </c>
      <c r="C381" s="330" t="str">
        <f t="shared" si="96"/>
        <v>Medzistaničný úsek</v>
      </c>
      <c r="D381" s="384">
        <v>0</v>
      </c>
    </row>
    <row r="382" spans="2:4">
      <c r="B382" s="330" t="str">
        <f t="shared" si="96"/>
        <v>Vranovské Dlhé</v>
      </c>
      <c r="C382" s="330" t="str">
        <f t="shared" si="96"/>
        <v>Stanica</v>
      </c>
      <c r="D382" s="384">
        <v>0</v>
      </c>
    </row>
    <row r="383" spans="2:4">
      <c r="B383" s="330" t="str">
        <f t="shared" si="96"/>
        <v>Vranovské Dlhé  - Hencovce</v>
      </c>
      <c r="C383" s="330" t="str">
        <f t="shared" si="96"/>
        <v>Medzistaničný úsek</v>
      </c>
      <c r="D383" s="384">
        <v>0</v>
      </c>
    </row>
    <row r="384" spans="2:4">
      <c r="B384" s="330" t="str">
        <f t="shared" si="96"/>
        <v>Hencovce</v>
      </c>
      <c r="C384" s="330" t="str">
        <f t="shared" si="96"/>
        <v>Stanica</v>
      </c>
      <c r="D384" s="384">
        <v>0</v>
      </c>
    </row>
    <row r="385" spans="2:4">
      <c r="B385" s="330" t="str">
        <f t="shared" si="96"/>
        <v xml:space="preserve">Hencovce  - Nižný Hrabovec/mimo/ </v>
      </c>
      <c r="C385" s="330" t="str">
        <f t="shared" si="96"/>
        <v>Medzistaničný úsek</v>
      </c>
      <c r="D385" s="384">
        <v>0</v>
      </c>
    </row>
    <row r="386" spans="2:4">
      <c r="B386" s="330" t="str">
        <f t="shared" ref="B386:C398" si="97">B327</f>
        <v>Nižný Hrabovec</v>
      </c>
      <c r="C386" s="330" t="str">
        <f t="shared" si="97"/>
        <v>Stanica</v>
      </c>
      <c r="D386" s="384">
        <v>10</v>
      </c>
    </row>
    <row r="387" spans="2:4">
      <c r="B387" s="330" t="str">
        <f t="shared" si="97"/>
        <v xml:space="preserve">Nižný Hrabovec/mimo/  - Strážske/mimo/ </v>
      </c>
      <c r="C387" s="330" t="str">
        <f t="shared" si="97"/>
        <v>Medzistaničný úsek</v>
      </c>
      <c r="D387" s="384">
        <v>0</v>
      </c>
    </row>
    <row r="388" spans="2:4">
      <c r="B388" s="330" t="str">
        <f t="shared" si="97"/>
        <v>Strážske</v>
      </c>
      <c r="C388" s="330" t="str">
        <f t="shared" si="97"/>
        <v>Stanica</v>
      </c>
      <c r="D388" s="384">
        <v>0</v>
      </c>
    </row>
    <row r="389" spans="2:4">
      <c r="B389" s="330" t="str">
        <f t="shared" si="97"/>
        <v>Kapušany pri Prešove/mimo/ - Fulianka/mimo/</v>
      </c>
      <c r="C389" s="330" t="str">
        <f t="shared" si="97"/>
        <v>Medzistaničný úsek</v>
      </c>
      <c r="D389" s="384">
        <v>0</v>
      </c>
    </row>
    <row r="390" spans="2:4">
      <c r="B390" s="330" t="str">
        <f t="shared" si="97"/>
        <v>Fulianka</v>
      </c>
      <c r="C390" s="330" t="str">
        <f t="shared" si="97"/>
        <v>Stanica</v>
      </c>
      <c r="D390" s="384">
        <v>0</v>
      </c>
    </row>
    <row r="391" spans="2:4">
      <c r="B391" s="330" t="str">
        <f t="shared" si="97"/>
        <v>Fulianka/mimo/ - Tulčík/mimo/</v>
      </c>
      <c r="C391" s="330" t="str">
        <f t="shared" si="97"/>
        <v>Medzistaničný úsek</v>
      </c>
      <c r="D391" s="384">
        <v>0</v>
      </c>
    </row>
    <row r="392" spans="2:4">
      <c r="B392" s="330" t="str">
        <f t="shared" si="97"/>
        <v>Tulčík</v>
      </c>
      <c r="C392" s="330" t="str">
        <f t="shared" si="97"/>
        <v>Stanica</v>
      </c>
      <c r="D392" s="384">
        <v>0</v>
      </c>
    </row>
    <row r="393" spans="2:4">
      <c r="B393" s="330" t="str">
        <f t="shared" si="97"/>
        <v>Tulčík/mimo/ - Demjata/mimo/</v>
      </c>
      <c r="C393" s="330" t="str">
        <f t="shared" si="97"/>
        <v>Medzistaničný úsek</v>
      </c>
      <c r="D393" s="384">
        <v>0</v>
      </c>
    </row>
    <row r="394" spans="2:4">
      <c r="B394" s="330" t="str">
        <f t="shared" si="97"/>
        <v>Demjata</v>
      </c>
      <c r="C394" s="330" t="str">
        <f t="shared" si="97"/>
        <v>Stanica</v>
      </c>
      <c r="D394" s="384">
        <v>0</v>
      </c>
    </row>
    <row r="395" spans="2:4">
      <c r="B395" s="330" t="str">
        <f t="shared" si="97"/>
        <v>Demjata/mimo/ - Demjata obec/mimo/</v>
      </c>
      <c r="C395" s="330" t="str">
        <f t="shared" si="97"/>
        <v>Medzistaničný úsek</v>
      </c>
      <c r="D395" s="384">
        <v>0</v>
      </c>
    </row>
    <row r="396" spans="2:4">
      <c r="B396" s="330" t="str">
        <f t="shared" si="97"/>
        <v>Demjata obec</v>
      </c>
      <c r="C396" s="330" t="str">
        <f t="shared" si="97"/>
        <v>Stanica</v>
      </c>
      <c r="D396" s="384">
        <v>0</v>
      </c>
    </row>
    <row r="397" spans="2:4">
      <c r="B397" s="330" t="str">
        <f t="shared" si="97"/>
        <v>Demjata obec/mimo/ - Raslavice/mimo/</v>
      </c>
      <c r="C397" s="330" t="str">
        <f t="shared" si="97"/>
        <v>Medzistaničný úsek</v>
      </c>
      <c r="D397" s="384">
        <v>0</v>
      </c>
    </row>
    <row r="398" spans="2:4">
      <c r="B398" s="330" t="str">
        <f t="shared" si="97"/>
        <v>Raslavice</v>
      </c>
      <c r="C398" s="330" t="str">
        <f t="shared" si="97"/>
        <v>Stanica</v>
      </c>
      <c r="D398" s="384">
        <v>6</v>
      </c>
    </row>
    <row r="399" spans="2:4">
      <c r="D399" s="384"/>
    </row>
    <row r="402" spans="2:7">
      <c r="B402" s="415" t="s">
        <v>335</v>
      </c>
      <c r="C402" s="904" t="s">
        <v>332</v>
      </c>
      <c r="D402" s="904"/>
    </row>
    <row r="403" spans="2:7">
      <c r="B403" s="395" t="s">
        <v>316</v>
      </c>
      <c r="C403" s="396" t="s">
        <v>333</v>
      </c>
      <c r="D403" s="396" t="s">
        <v>334</v>
      </c>
    </row>
    <row r="404" spans="2:7">
      <c r="B404" s="416" t="s">
        <v>320</v>
      </c>
      <c r="C404" s="422">
        <f>Parametre!C67</f>
        <v>258911.1775789774</v>
      </c>
      <c r="D404" s="422">
        <f>Parametre!D67</f>
        <v>69453.857641491268</v>
      </c>
    </row>
    <row r="405" spans="2:7">
      <c r="B405" s="416" t="s">
        <v>321</v>
      </c>
      <c r="C405" s="422">
        <f>Parametre!C68</f>
        <v>808271.92595934123</v>
      </c>
      <c r="D405" s="422">
        <f>Parametre!D68</f>
        <v>114196.40134946418</v>
      </c>
    </row>
    <row r="406" spans="2:7">
      <c r="B406" s="416" t="s">
        <v>322</v>
      </c>
      <c r="C406" s="422">
        <f>Parametre!C69</f>
        <v>101456.60704021774</v>
      </c>
      <c r="D406" s="422">
        <f>Parametre!D69</f>
        <v>7830.1408045875278</v>
      </c>
    </row>
    <row r="407" spans="2:7">
      <c r="B407" s="416" t="s">
        <v>323</v>
      </c>
      <c r="C407" s="422">
        <f>Parametre!C70</f>
        <v>316728.73901561688</v>
      </c>
      <c r="D407" s="422">
        <f>Parametre!D70</f>
        <v>12874.144551270847</v>
      </c>
    </row>
    <row r="408" spans="2:7" ht="15.75" thickBot="1">
      <c r="B408" s="399" t="s">
        <v>682</v>
      </c>
      <c r="C408" s="331"/>
      <c r="D408" s="331"/>
    </row>
    <row r="409" spans="2:7" ht="40.5" customHeight="1">
      <c r="B409" s="399"/>
      <c r="C409" s="907" t="s">
        <v>599</v>
      </c>
      <c r="D409" s="909" t="s">
        <v>840</v>
      </c>
      <c r="E409" s="910"/>
      <c r="F409" s="909" t="s">
        <v>841</v>
      </c>
      <c r="G409" s="910"/>
    </row>
    <row r="410" spans="2:7" ht="15.75" thickBot="1">
      <c r="B410" s="399"/>
      <c r="C410" s="908"/>
      <c r="D410" s="400" t="s">
        <v>671</v>
      </c>
      <c r="E410" s="401" t="s">
        <v>672</v>
      </c>
      <c r="F410" s="400" t="s">
        <v>671</v>
      </c>
      <c r="G410" s="401" t="s">
        <v>672</v>
      </c>
    </row>
    <row r="411" spans="2:7">
      <c r="B411" s="402" t="s">
        <v>683</v>
      </c>
      <c r="C411" s="423">
        <f>SUMIFS(F417:F463,E417:E463,C403,D417:D463,"1-koľaj")</f>
        <v>0</v>
      </c>
      <c r="D411" s="404">
        <f>C411-E411</f>
        <v>0</v>
      </c>
      <c r="E411" s="626">
        <v>0</v>
      </c>
      <c r="F411" s="404">
        <f>C411-G411</f>
        <v>0</v>
      </c>
      <c r="G411" s="626">
        <v>0</v>
      </c>
    </row>
    <row r="412" spans="2:7">
      <c r="B412" s="407" t="s">
        <v>684</v>
      </c>
      <c r="C412" s="408">
        <f>SUMIFS(F417:F463,E417:E463,C403,D417:D463,"2-koľaj")</f>
        <v>0</v>
      </c>
      <c r="D412" s="409">
        <f>C412-E412</f>
        <v>0</v>
      </c>
      <c r="E412" s="627">
        <v>0</v>
      </c>
      <c r="F412" s="409">
        <f>C412-G412</f>
        <v>0</v>
      </c>
      <c r="G412" s="627">
        <v>0</v>
      </c>
    </row>
    <row r="413" spans="2:7">
      <c r="B413" s="407" t="s">
        <v>667</v>
      </c>
      <c r="C413" s="408">
        <f>SUMIFS(F417:F463,E417:E463,D403,D417:D463,"1-koľaj")</f>
        <v>0</v>
      </c>
      <c r="D413" s="409">
        <f>C413-E413</f>
        <v>0</v>
      </c>
      <c r="E413" s="627">
        <v>0</v>
      </c>
      <c r="F413" s="409">
        <f>C413-G413</f>
        <v>0</v>
      </c>
      <c r="G413" s="627">
        <v>0</v>
      </c>
    </row>
    <row r="414" spans="2:7" ht="15.75" thickBot="1">
      <c r="B414" s="410" t="s">
        <v>668</v>
      </c>
      <c r="C414" s="424">
        <f>SUMIFS(F417:F463,E417:E463,D403,D417:D463,"2-koľaj")</f>
        <v>0</v>
      </c>
      <c r="D414" s="425">
        <f>C414-E414</f>
        <v>0</v>
      </c>
      <c r="E414" s="628">
        <v>0</v>
      </c>
      <c r="F414" s="425">
        <f>C414-G414</f>
        <v>0</v>
      </c>
      <c r="G414" s="628">
        <v>0</v>
      </c>
    </row>
    <row r="416" spans="2:7" ht="30">
      <c r="D416" s="413" t="s">
        <v>674</v>
      </c>
      <c r="E416" s="371" t="s">
        <v>685</v>
      </c>
      <c r="F416" s="414" t="s">
        <v>686</v>
      </c>
    </row>
    <row r="417" spans="2:6">
      <c r="B417" s="330" t="str">
        <f t="shared" ref="B417:C428" si="98">B354</f>
        <v>Prešov</v>
      </c>
      <c r="C417" s="426" t="str">
        <f t="shared" si="98"/>
        <v>Stanica</v>
      </c>
      <c r="D417" s="384">
        <v>0</v>
      </c>
      <c r="E417" s="384">
        <v>0</v>
      </c>
      <c r="F417" s="384">
        <v>0</v>
      </c>
    </row>
    <row r="418" spans="2:6">
      <c r="B418" s="330" t="str">
        <f t="shared" si="98"/>
        <v xml:space="preserve">Prešov/mimo/ - Šarišské Lúky/mimo/ </v>
      </c>
      <c r="C418" s="426" t="str">
        <f t="shared" si="98"/>
        <v>Medzistaničný úsek</v>
      </c>
      <c r="D418" s="384">
        <v>0</v>
      </c>
      <c r="E418" s="384">
        <v>0</v>
      </c>
      <c r="F418" s="384">
        <v>0</v>
      </c>
    </row>
    <row r="419" spans="2:6">
      <c r="B419" s="330" t="str">
        <f t="shared" si="98"/>
        <v>Šarišské Lúky</v>
      </c>
      <c r="C419" s="426" t="str">
        <f t="shared" si="98"/>
        <v>Stanica</v>
      </c>
      <c r="D419" s="384">
        <v>0</v>
      </c>
      <c r="E419" s="384">
        <v>0</v>
      </c>
      <c r="F419" s="384">
        <v>0</v>
      </c>
    </row>
    <row r="420" spans="2:6">
      <c r="B420" s="330" t="str">
        <f t="shared" si="98"/>
        <v xml:space="preserve">Šarišské Lúky/mimo/  - Kapušany pri Prešove/mimo/ </v>
      </c>
      <c r="C420" s="426" t="str">
        <f t="shared" si="98"/>
        <v>Medzistaničný úsek</v>
      </c>
      <c r="D420" s="384">
        <v>0</v>
      </c>
      <c r="E420" s="384">
        <v>0</v>
      </c>
      <c r="F420" s="384">
        <v>0</v>
      </c>
    </row>
    <row r="421" spans="2:6">
      <c r="B421" s="330" t="str">
        <f t="shared" si="98"/>
        <v>Kapušany pri Prešove</v>
      </c>
      <c r="C421" s="426" t="str">
        <f t="shared" si="98"/>
        <v>Stanica</v>
      </c>
      <c r="D421" s="384">
        <v>0</v>
      </c>
      <c r="E421" s="384">
        <v>0</v>
      </c>
      <c r="F421" s="384">
        <v>0</v>
      </c>
    </row>
    <row r="422" spans="2:6">
      <c r="B422" s="330" t="str">
        <f t="shared" si="98"/>
        <v>Kapušany pri Prešove/mimo/  - Lada</v>
      </c>
      <c r="C422" s="426" t="str">
        <f t="shared" si="98"/>
        <v>Medzistaničný úsek</v>
      </c>
      <c r="D422" s="384">
        <v>0</v>
      </c>
      <c r="E422" s="384">
        <v>0</v>
      </c>
      <c r="F422" s="384">
        <v>0</v>
      </c>
    </row>
    <row r="423" spans="2:6">
      <c r="B423" s="330" t="str">
        <f t="shared" si="98"/>
        <v>Lada</v>
      </c>
      <c r="C423" s="426" t="str">
        <f t="shared" si="98"/>
        <v>Stanica</v>
      </c>
      <c r="D423" s="384">
        <v>0</v>
      </c>
      <c r="E423" s="384">
        <v>0</v>
      </c>
      <c r="F423" s="384">
        <v>0</v>
      </c>
    </row>
    <row r="424" spans="2:6">
      <c r="B424" s="330" t="str">
        <f t="shared" si="98"/>
        <v xml:space="preserve">Lada  - Lipníky/mimo/ </v>
      </c>
      <c r="C424" s="426" t="str">
        <f t="shared" si="98"/>
        <v>Medzistaničný úsek</v>
      </c>
      <c r="D424" s="384">
        <v>0</v>
      </c>
      <c r="E424" s="384">
        <v>0</v>
      </c>
      <c r="F424" s="384">
        <v>0</v>
      </c>
    </row>
    <row r="425" spans="2:6">
      <c r="B425" s="330" t="str">
        <f t="shared" si="98"/>
        <v>Lipníky</v>
      </c>
      <c r="C425" s="426" t="str">
        <f t="shared" si="98"/>
        <v>Stanica</v>
      </c>
      <c r="D425" s="384">
        <v>0</v>
      </c>
      <c r="E425" s="384">
        <v>0</v>
      </c>
      <c r="F425" s="384">
        <v>0</v>
      </c>
    </row>
    <row r="426" spans="2:6">
      <c r="B426" s="330" t="str">
        <f t="shared" si="98"/>
        <v>Lipníky/mimo/  - Pavlovce</v>
      </c>
      <c r="C426" s="426" t="str">
        <f t="shared" si="98"/>
        <v>Medzistaničný úsek</v>
      </c>
      <c r="D426" s="384">
        <v>0</v>
      </c>
      <c r="E426" s="384">
        <v>0</v>
      </c>
      <c r="F426" s="384">
        <v>0</v>
      </c>
    </row>
    <row r="427" spans="2:6">
      <c r="B427" s="330" t="str">
        <f t="shared" si="98"/>
        <v>Pavlovce</v>
      </c>
      <c r="C427" s="426" t="str">
        <f t="shared" si="98"/>
        <v>Stanica</v>
      </c>
      <c r="D427" s="384">
        <v>0</v>
      </c>
      <c r="E427" s="384">
        <v>0</v>
      </c>
      <c r="F427" s="384">
        <v>0</v>
      </c>
    </row>
    <row r="428" spans="2:6">
      <c r="B428" s="903" t="str">
        <f t="shared" si="98"/>
        <v>Pavlovce  - Hanušovce nad Topľou mesto</v>
      </c>
      <c r="C428" s="903" t="str">
        <f t="shared" si="98"/>
        <v>Medzistaničný úsek</v>
      </c>
      <c r="D428" s="384" t="s">
        <v>802</v>
      </c>
      <c r="E428" s="384" t="s">
        <v>803</v>
      </c>
      <c r="F428" s="384">
        <v>0</v>
      </c>
    </row>
    <row r="429" spans="2:6">
      <c r="B429" s="903"/>
      <c r="C429" s="903"/>
      <c r="D429" s="384" t="s">
        <v>802</v>
      </c>
      <c r="E429" s="384" t="s">
        <v>803</v>
      </c>
      <c r="F429" s="384">
        <v>0</v>
      </c>
    </row>
    <row r="430" spans="2:6">
      <c r="B430" s="903"/>
      <c r="C430" s="903"/>
      <c r="D430" s="384" t="s">
        <v>802</v>
      </c>
      <c r="E430" s="384" t="s">
        <v>803</v>
      </c>
      <c r="F430" s="384">
        <v>0</v>
      </c>
    </row>
    <row r="431" spans="2:6">
      <c r="B431" s="330" t="str">
        <f t="shared" ref="B431:C446" si="99">B366</f>
        <v>Hanušovce nad Topľou mesto</v>
      </c>
      <c r="C431" s="426" t="str">
        <f t="shared" si="99"/>
        <v>Stanica</v>
      </c>
      <c r="D431" s="384">
        <v>0</v>
      </c>
      <c r="E431" s="384">
        <v>0</v>
      </c>
      <c r="F431" s="384">
        <v>0</v>
      </c>
    </row>
    <row r="432" spans="2:6">
      <c r="B432" s="330" t="str">
        <f t="shared" si="99"/>
        <v xml:space="preserve">Hanušovce nad Topľou mesto  - Hanušovce nad Topľou/mimo/ </v>
      </c>
      <c r="C432" s="426" t="str">
        <f t="shared" si="99"/>
        <v>Medzistaničný úsek</v>
      </c>
      <c r="D432" s="384">
        <v>0</v>
      </c>
      <c r="E432" s="384">
        <v>0</v>
      </c>
      <c r="F432" s="384">
        <v>0</v>
      </c>
    </row>
    <row r="433" spans="2:6">
      <c r="B433" s="330" t="str">
        <f t="shared" si="99"/>
        <v>Hanušovce nad Topľou</v>
      </c>
      <c r="C433" s="426" t="str">
        <f t="shared" si="99"/>
        <v>Stanica</v>
      </c>
      <c r="D433" s="384">
        <v>0</v>
      </c>
      <c r="E433" s="384">
        <v>0</v>
      </c>
      <c r="F433" s="384">
        <v>0</v>
      </c>
    </row>
    <row r="434" spans="2:6">
      <c r="B434" s="330" t="str">
        <f t="shared" si="99"/>
        <v>Hanušovce nad Topľou/mimo/  - Bystré</v>
      </c>
      <c r="C434" s="426" t="str">
        <f t="shared" si="99"/>
        <v>Medzistaničný úsek</v>
      </c>
      <c r="D434" s="384" t="s">
        <v>802</v>
      </c>
      <c r="E434" s="384" t="s">
        <v>803</v>
      </c>
      <c r="F434" s="384">
        <v>0</v>
      </c>
    </row>
    <row r="435" spans="2:6">
      <c r="B435" s="330" t="str">
        <f t="shared" si="99"/>
        <v>Bystré</v>
      </c>
      <c r="C435" s="426" t="str">
        <f t="shared" si="99"/>
        <v>Stanica</v>
      </c>
      <c r="D435" s="384">
        <v>0</v>
      </c>
      <c r="E435" s="384">
        <v>0</v>
      </c>
      <c r="F435" s="384">
        <v>0</v>
      </c>
    </row>
    <row r="436" spans="2:6">
      <c r="B436" s="330" t="str">
        <f t="shared" si="99"/>
        <v xml:space="preserve">Bystré  - Čierne nad Topľou/mimo/ </v>
      </c>
      <c r="C436" s="426" t="str">
        <f t="shared" si="99"/>
        <v>Medzistaničný úsek</v>
      </c>
      <c r="D436" s="384">
        <v>0</v>
      </c>
      <c r="E436" s="384">
        <v>0</v>
      </c>
      <c r="F436" s="384">
        <v>0</v>
      </c>
    </row>
    <row r="437" spans="2:6">
      <c r="B437" s="330" t="str">
        <f t="shared" si="99"/>
        <v>Čierne nad Topľou</v>
      </c>
      <c r="C437" s="426" t="str">
        <f t="shared" si="99"/>
        <v>Stanica</v>
      </c>
      <c r="D437" s="384">
        <v>0</v>
      </c>
      <c r="E437" s="384">
        <v>0</v>
      </c>
      <c r="F437" s="384">
        <v>0</v>
      </c>
    </row>
    <row r="438" spans="2:6">
      <c r="B438" s="330" t="str">
        <f t="shared" si="99"/>
        <v>Čierne nad Topľou/mimo/  - Hlinné</v>
      </c>
      <c r="C438" s="426" t="str">
        <f t="shared" si="99"/>
        <v>Medzistaničný úsek</v>
      </c>
      <c r="D438" s="384">
        <v>0</v>
      </c>
      <c r="E438" s="384">
        <v>0</v>
      </c>
      <c r="F438" s="384">
        <v>0</v>
      </c>
    </row>
    <row r="439" spans="2:6">
      <c r="B439" s="330" t="str">
        <f t="shared" si="99"/>
        <v>Hlinné</v>
      </c>
      <c r="C439" s="426" t="str">
        <f t="shared" si="99"/>
        <v>Stanica</v>
      </c>
      <c r="D439" s="384">
        <v>0</v>
      </c>
      <c r="E439" s="384">
        <v>0</v>
      </c>
      <c r="F439" s="384">
        <v>0</v>
      </c>
    </row>
    <row r="440" spans="2:6">
      <c r="B440" s="330" t="str">
        <f t="shared" si="99"/>
        <v>Hlinné - Soľ</v>
      </c>
      <c r="C440" s="426" t="str">
        <f t="shared" si="99"/>
        <v>Medzistaničný úsek</v>
      </c>
      <c r="D440" s="384">
        <v>0</v>
      </c>
      <c r="E440" s="384">
        <v>0</v>
      </c>
      <c r="F440" s="384">
        <v>0</v>
      </c>
    </row>
    <row r="441" spans="2:6">
      <c r="B441" s="330" t="str">
        <f t="shared" si="99"/>
        <v>Soľ</v>
      </c>
      <c r="C441" s="426" t="str">
        <f t="shared" si="99"/>
        <v>Stanica</v>
      </c>
      <c r="D441" s="384">
        <v>0</v>
      </c>
      <c r="E441" s="384">
        <v>0</v>
      </c>
      <c r="F441" s="384">
        <v>0</v>
      </c>
    </row>
    <row r="442" spans="2:6">
      <c r="B442" s="330" t="str">
        <f t="shared" si="99"/>
        <v xml:space="preserve">Soľ  - Komárany </v>
      </c>
      <c r="C442" s="426" t="str">
        <f t="shared" si="99"/>
        <v>Medzistaničný úsek</v>
      </c>
      <c r="D442" s="384" t="s">
        <v>802</v>
      </c>
      <c r="E442" s="384" t="s">
        <v>803</v>
      </c>
      <c r="F442" s="384">
        <v>0</v>
      </c>
    </row>
    <row r="443" spans="2:6">
      <c r="B443" s="330" t="str">
        <f t="shared" si="99"/>
        <v>Komárany</v>
      </c>
      <c r="C443" s="426" t="str">
        <f t="shared" si="99"/>
        <v>Stanica</v>
      </c>
      <c r="D443" s="384">
        <v>0</v>
      </c>
      <c r="E443" s="384">
        <v>0</v>
      </c>
      <c r="F443" s="384">
        <v>0</v>
      </c>
    </row>
    <row r="444" spans="2:6">
      <c r="B444" s="330" t="str">
        <f t="shared" si="99"/>
        <v xml:space="preserve">Komárany  - Vranov nad Topľou/mimo/ </v>
      </c>
      <c r="C444" s="426" t="str">
        <f t="shared" si="99"/>
        <v>Medzistaničný úsek</v>
      </c>
      <c r="D444" s="384">
        <v>0</v>
      </c>
      <c r="E444" s="384">
        <v>0</v>
      </c>
      <c r="F444" s="384">
        <v>0</v>
      </c>
    </row>
    <row r="445" spans="2:6">
      <c r="B445" s="330" t="str">
        <f t="shared" si="99"/>
        <v>Vranov nad Topľou</v>
      </c>
      <c r="C445" s="426" t="str">
        <f t="shared" si="99"/>
        <v>Stanica</v>
      </c>
      <c r="D445" s="384">
        <v>0</v>
      </c>
      <c r="E445" s="384">
        <v>0</v>
      </c>
      <c r="F445" s="384">
        <v>0</v>
      </c>
    </row>
    <row r="446" spans="2:6">
      <c r="B446" s="330" t="str">
        <f t="shared" si="99"/>
        <v>Vranov nad Topľou/mimo/  - Vranovské Dlhé</v>
      </c>
      <c r="C446" s="426" t="str">
        <f t="shared" si="99"/>
        <v>Medzistaničný úsek</v>
      </c>
      <c r="D446" s="384">
        <v>0</v>
      </c>
      <c r="E446" s="384">
        <v>0</v>
      </c>
      <c r="F446" s="384">
        <v>0</v>
      </c>
    </row>
    <row r="447" spans="2:6">
      <c r="B447" s="330" t="str">
        <f t="shared" ref="B447:C460" si="100">B382</f>
        <v>Vranovské Dlhé</v>
      </c>
      <c r="C447" s="426" t="str">
        <f t="shared" si="100"/>
        <v>Stanica</v>
      </c>
      <c r="D447" s="384">
        <v>0</v>
      </c>
      <c r="E447" s="384">
        <v>0</v>
      </c>
      <c r="F447" s="384">
        <v>0</v>
      </c>
    </row>
    <row r="448" spans="2:6">
      <c r="B448" s="330" t="str">
        <f t="shared" si="100"/>
        <v>Vranovské Dlhé  - Hencovce</v>
      </c>
      <c r="C448" s="426" t="str">
        <f t="shared" si="100"/>
        <v>Medzistaničný úsek</v>
      </c>
      <c r="D448" s="384">
        <v>0</v>
      </c>
      <c r="E448" s="384">
        <v>0</v>
      </c>
      <c r="F448" s="384">
        <v>0</v>
      </c>
    </row>
    <row r="449" spans="2:6">
      <c r="B449" s="330" t="str">
        <f t="shared" si="100"/>
        <v>Hencovce</v>
      </c>
      <c r="C449" s="426" t="str">
        <f t="shared" si="100"/>
        <v>Stanica</v>
      </c>
      <c r="D449" s="384">
        <v>0</v>
      </c>
      <c r="E449" s="384">
        <v>0</v>
      </c>
      <c r="F449" s="384">
        <v>0</v>
      </c>
    </row>
    <row r="450" spans="2:6">
      <c r="B450" s="330" t="str">
        <f t="shared" si="100"/>
        <v xml:space="preserve">Hencovce  - Nižný Hrabovec/mimo/ </v>
      </c>
      <c r="C450" s="426" t="str">
        <f t="shared" si="100"/>
        <v>Medzistaničný úsek</v>
      </c>
      <c r="D450" s="384" t="s">
        <v>802</v>
      </c>
      <c r="E450" s="384" t="s">
        <v>803</v>
      </c>
      <c r="F450" s="384">
        <v>0</v>
      </c>
    </row>
    <row r="451" spans="2:6">
      <c r="B451" s="330" t="str">
        <f t="shared" si="100"/>
        <v>Nižný Hrabovec</v>
      </c>
      <c r="C451" s="426" t="str">
        <f t="shared" si="100"/>
        <v>Stanica</v>
      </c>
      <c r="D451" s="387">
        <v>0</v>
      </c>
      <c r="E451" s="387">
        <v>0</v>
      </c>
      <c r="F451" s="387">
        <v>0</v>
      </c>
    </row>
    <row r="452" spans="2:6">
      <c r="B452" s="330" t="str">
        <f t="shared" si="100"/>
        <v xml:space="preserve">Nižný Hrabovec/mimo/  - Strážske/mimo/ </v>
      </c>
      <c r="C452" s="426" t="str">
        <f t="shared" si="100"/>
        <v>Medzistaničný úsek</v>
      </c>
      <c r="D452" s="387">
        <v>0</v>
      </c>
      <c r="E452" s="387">
        <v>0</v>
      </c>
      <c r="F452" s="387">
        <v>0</v>
      </c>
    </row>
    <row r="453" spans="2:6">
      <c r="B453" s="330" t="str">
        <f t="shared" si="100"/>
        <v>Strážske</v>
      </c>
      <c r="C453" s="426" t="str">
        <f t="shared" si="100"/>
        <v>Stanica</v>
      </c>
      <c r="D453" s="387">
        <v>0</v>
      </c>
      <c r="E453" s="387">
        <v>0</v>
      </c>
      <c r="F453" s="387">
        <v>0</v>
      </c>
    </row>
    <row r="454" spans="2:6">
      <c r="B454" s="330" t="str">
        <f t="shared" si="100"/>
        <v>Kapušany pri Prešove/mimo/ - Fulianka/mimo/</v>
      </c>
      <c r="C454" s="426" t="str">
        <f t="shared" si="100"/>
        <v>Medzistaničný úsek</v>
      </c>
      <c r="D454" s="384">
        <v>0</v>
      </c>
      <c r="E454" s="384">
        <v>0</v>
      </c>
      <c r="F454" s="384">
        <v>0</v>
      </c>
    </row>
    <row r="455" spans="2:6">
      <c r="B455" s="330" t="str">
        <f t="shared" si="100"/>
        <v>Fulianka</v>
      </c>
      <c r="C455" s="426" t="str">
        <f t="shared" si="100"/>
        <v>Stanica</v>
      </c>
      <c r="D455" s="384">
        <v>0</v>
      </c>
      <c r="E455" s="384">
        <v>0</v>
      </c>
      <c r="F455" s="384">
        <v>0</v>
      </c>
    </row>
    <row r="456" spans="2:6">
      <c r="B456" s="330" t="str">
        <f t="shared" si="100"/>
        <v>Fulianka/mimo/ - Tulčík/mimo/</v>
      </c>
      <c r="C456" s="426" t="str">
        <f t="shared" si="100"/>
        <v>Medzistaničný úsek</v>
      </c>
      <c r="D456" s="384">
        <v>0</v>
      </c>
      <c r="E456" s="384">
        <v>0</v>
      </c>
      <c r="F456" s="384">
        <v>0</v>
      </c>
    </row>
    <row r="457" spans="2:6">
      <c r="B457" s="330" t="str">
        <f t="shared" si="100"/>
        <v>Tulčík</v>
      </c>
      <c r="C457" s="426" t="str">
        <f t="shared" si="100"/>
        <v>Stanica</v>
      </c>
      <c r="D457" s="384">
        <v>0</v>
      </c>
      <c r="E457" s="384">
        <v>0</v>
      </c>
      <c r="F457" s="384">
        <v>0</v>
      </c>
    </row>
    <row r="458" spans="2:6">
      <c r="B458" s="330" t="str">
        <f t="shared" si="100"/>
        <v>Tulčík/mimo/ - Demjata/mimo/</v>
      </c>
      <c r="C458" s="426" t="str">
        <f t="shared" si="100"/>
        <v>Medzistaničný úsek</v>
      </c>
      <c r="D458" s="384">
        <v>0</v>
      </c>
      <c r="E458" s="384">
        <v>0</v>
      </c>
      <c r="F458" s="384">
        <v>0</v>
      </c>
    </row>
    <row r="459" spans="2:6">
      <c r="B459" s="330" t="str">
        <f t="shared" si="100"/>
        <v>Demjata</v>
      </c>
      <c r="C459" s="426" t="str">
        <f t="shared" si="100"/>
        <v>Stanica</v>
      </c>
      <c r="D459" s="384">
        <v>0</v>
      </c>
      <c r="E459" s="384">
        <v>0</v>
      </c>
      <c r="F459" s="384">
        <v>0</v>
      </c>
    </row>
    <row r="460" spans="2:6">
      <c r="B460" s="330" t="str">
        <f t="shared" si="100"/>
        <v>Demjata/mimo/ - Demjata obec/mimo/</v>
      </c>
      <c r="C460" s="426" t="str">
        <f t="shared" si="100"/>
        <v>Medzistaničný úsek</v>
      </c>
      <c r="D460" s="384">
        <v>0</v>
      </c>
      <c r="E460" s="384">
        <v>0</v>
      </c>
      <c r="F460" s="384">
        <v>0</v>
      </c>
    </row>
    <row r="461" spans="2:6">
      <c r="B461" s="330" t="str">
        <f>B396</f>
        <v>Demjata obec</v>
      </c>
      <c r="C461" s="426" t="str">
        <f>C396</f>
        <v>Stanica</v>
      </c>
      <c r="D461" s="384">
        <v>0</v>
      </c>
      <c r="E461" s="384">
        <v>0</v>
      </c>
      <c r="F461" s="384">
        <v>0</v>
      </c>
    </row>
    <row r="462" spans="2:6">
      <c r="B462" s="330" t="str">
        <f t="shared" ref="B462:C463" si="101">B397</f>
        <v>Demjata obec/mimo/ - Raslavice/mimo/</v>
      </c>
      <c r="C462" s="426" t="str">
        <f t="shared" si="101"/>
        <v>Medzistaničný úsek</v>
      </c>
      <c r="D462" s="384">
        <v>0</v>
      </c>
      <c r="E462" s="384">
        <v>0</v>
      </c>
      <c r="F462" s="384">
        <v>0</v>
      </c>
    </row>
    <row r="463" spans="2:6">
      <c r="B463" s="330" t="str">
        <f t="shared" si="101"/>
        <v>Raslavice</v>
      </c>
      <c r="C463" s="426" t="str">
        <f t="shared" si="101"/>
        <v>Stanica</v>
      </c>
      <c r="D463" s="384" t="s">
        <v>802</v>
      </c>
      <c r="E463" s="384" t="s">
        <v>803</v>
      </c>
      <c r="F463" s="384">
        <v>0</v>
      </c>
    </row>
    <row r="464" spans="2:6">
      <c r="C464" s="426"/>
      <c r="D464" s="384"/>
      <c r="E464" s="384"/>
      <c r="F464" s="384"/>
    </row>
    <row r="467" spans="2:5">
      <c r="B467" s="415" t="s">
        <v>336</v>
      </c>
      <c r="C467" s="422">
        <f>Parametre!C73</f>
        <v>49091.317561461969</v>
      </c>
    </row>
    <row r="468" spans="2:5" ht="15.75" thickBot="1">
      <c r="B468" s="399" t="s">
        <v>687</v>
      </c>
      <c r="C468" s="331"/>
    </row>
    <row r="469" spans="2:5" ht="41.25" customHeight="1" thickBot="1">
      <c r="B469" s="399"/>
      <c r="C469" s="427" t="s">
        <v>599</v>
      </c>
      <c r="D469" s="611" t="s">
        <v>840</v>
      </c>
      <c r="E469" s="611" t="s">
        <v>841</v>
      </c>
    </row>
    <row r="470" spans="2:5" ht="15.75" thickBot="1">
      <c r="B470" s="428" t="s">
        <v>669</v>
      </c>
      <c r="C470" s="429">
        <f>SUM(D474:D518)</f>
        <v>0.76500000000000001</v>
      </c>
      <c r="D470" s="430">
        <f>C470</f>
        <v>0.76500000000000001</v>
      </c>
      <c r="E470" s="430">
        <f>D470</f>
        <v>0.76500000000000001</v>
      </c>
    </row>
    <row r="471" spans="2:5">
      <c r="B471" s="399"/>
      <c r="C471" s="331"/>
    </row>
    <row r="472" spans="2:5">
      <c r="B472" s="399"/>
      <c r="C472" s="331"/>
    </row>
    <row r="473" spans="2:5" ht="30">
      <c r="D473" s="414" t="s">
        <v>688</v>
      </c>
    </row>
    <row r="474" spans="2:5">
      <c r="B474" s="330" t="str">
        <f t="shared" ref="B474:C485" si="102">B417</f>
        <v>Prešov</v>
      </c>
      <c r="C474" s="330" t="str">
        <f t="shared" si="102"/>
        <v>Stanica</v>
      </c>
      <c r="D474" s="384">
        <v>0</v>
      </c>
    </row>
    <row r="475" spans="2:5">
      <c r="B475" s="330" t="str">
        <f t="shared" si="102"/>
        <v xml:space="preserve">Prešov/mimo/ - Šarišské Lúky/mimo/ </v>
      </c>
      <c r="C475" s="330" t="str">
        <f t="shared" si="102"/>
        <v>Medzistaničný úsek</v>
      </c>
      <c r="D475" s="384">
        <v>0</v>
      </c>
    </row>
    <row r="476" spans="2:5">
      <c r="B476" s="330" t="str">
        <f t="shared" si="102"/>
        <v>Šarišské Lúky</v>
      </c>
      <c r="C476" s="330" t="str">
        <f t="shared" si="102"/>
        <v>Stanica</v>
      </c>
      <c r="D476" s="384">
        <v>0</v>
      </c>
    </row>
    <row r="477" spans="2:5">
      <c r="B477" s="330" t="str">
        <f t="shared" si="102"/>
        <v xml:space="preserve">Šarišské Lúky/mimo/  - Kapušany pri Prešove/mimo/ </v>
      </c>
      <c r="C477" s="330" t="str">
        <f t="shared" si="102"/>
        <v>Medzistaničný úsek</v>
      </c>
      <c r="D477" s="384">
        <v>0</v>
      </c>
    </row>
    <row r="478" spans="2:5">
      <c r="B478" s="330" t="str">
        <f t="shared" si="102"/>
        <v>Kapušany pri Prešove</v>
      </c>
      <c r="C478" s="330" t="str">
        <f t="shared" si="102"/>
        <v>Stanica</v>
      </c>
      <c r="D478" s="384">
        <v>0</v>
      </c>
    </row>
    <row r="479" spans="2:5">
      <c r="B479" s="330" t="str">
        <f t="shared" si="102"/>
        <v>Kapušany pri Prešove/mimo/  - Lada</v>
      </c>
      <c r="C479" s="330" t="str">
        <f t="shared" si="102"/>
        <v>Medzistaničný úsek</v>
      </c>
      <c r="D479" s="384">
        <v>0</v>
      </c>
    </row>
    <row r="480" spans="2:5">
      <c r="B480" s="330" t="str">
        <f t="shared" si="102"/>
        <v>Lada</v>
      </c>
      <c r="C480" s="330" t="str">
        <f t="shared" si="102"/>
        <v>Stanica</v>
      </c>
      <c r="D480" s="384">
        <v>0</v>
      </c>
    </row>
    <row r="481" spans="2:4">
      <c r="B481" s="330" t="str">
        <f t="shared" si="102"/>
        <v xml:space="preserve">Lada  - Lipníky/mimo/ </v>
      </c>
      <c r="C481" s="330" t="str">
        <f t="shared" si="102"/>
        <v>Medzistaničný úsek</v>
      </c>
      <c r="D481" s="384">
        <v>0</v>
      </c>
    </row>
    <row r="482" spans="2:4">
      <c r="B482" s="330" t="str">
        <f t="shared" si="102"/>
        <v>Lipníky</v>
      </c>
      <c r="C482" s="330" t="str">
        <f t="shared" si="102"/>
        <v>Stanica</v>
      </c>
      <c r="D482" s="384">
        <v>0</v>
      </c>
    </row>
    <row r="483" spans="2:4">
      <c r="B483" s="330" t="str">
        <f t="shared" si="102"/>
        <v>Lipníky/mimo/  - Pavlovce</v>
      </c>
      <c r="C483" s="330" t="str">
        <f t="shared" si="102"/>
        <v>Medzistaničný úsek</v>
      </c>
      <c r="D483" s="431">
        <v>0.45</v>
      </c>
    </row>
    <row r="484" spans="2:4">
      <c r="B484" s="330" t="str">
        <f t="shared" si="102"/>
        <v>Pavlovce</v>
      </c>
      <c r="C484" s="330" t="str">
        <f t="shared" si="102"/>
        <v>Stanica</v>
      </c>
      <c r="D484" s="384">
        <v>0</v>
      </c>
    </row>
    <row r="485" spans="2:4">
      <c r="B485" s="330" t="str">
        <f t="shared" si="102"/>
        <v>Pavlovce  - Hanušovce nad Topľou mesto</v>
      </c>
      <c r="C485" s="330" t="str">
        <f t="shared" si="102"/>
        <v>Medzistaničný úsek</v>
      </c>
      <c r="D485" s="384">
        <v>0</v>
      </c>
    </row>
    <row r="486" spans="2:4">
      <c r="B486" s="330" t="str">
        <f t="shared" ref="B486:C501" si="103">B431</f>
        <v>Hanušovce nad Topľou mesto</v>
      </c>
      <c r="C486" s="330" t="str">
        <f t="shared" si="103"/>
        <v>Stanica</v>
      </c>
      <c r="D486" s="384">
        <v>0</v>
      </c>
    </row>
    <row r="487" spans="2:4">
      <c r="B487" s="330" t="str">
        <f t="shared" si="103"/>
        <v xml:space="preserve">Hanušovce nad Topľou mesto  - Hanušovce nad Topľou/mimo/ </v>
      </c>
      <c r="C487" s="330" t="str">
        <f t="shared" si="103"/>
        <v>Medzistaničný úsek</v>
      </c>
      <c r="D487" s="384">
        <v>0</v>
      </c>
    </row>
    <row r="488" spans="2:4">
      <c r="B488" s="330" t="str">
        <f t="shared" si="103"/>
        <v>Hanušovce nad Topľou</v>
      </c>
      <c r="C488" s="330" t="str">
        <f t="shared" si="103"/>
        <v>Stanica</v>
      </c>
      <c r="D488" s="384">
        <v>0</v>
      </c>
    </row>
    <row r="489" spans="2:4">
      <c r="B489" s="330" t="str">
        <f t="shared" si="103"/>
        <v>Hanušovce nad Topľou/mimo/  - Bystré</v>
      </c>
      <c r="C489" s="330" t="str">
        <f t="shared" si="103"/>
        <v>Medzistaničný úsek</v>
      </c>
      <c r="D489" s="384">
        <v>0</v>
      </c>
    </row>
    <row r="490" spans="2:4">
      <c r="B490" s="330" t="str">
        <f t="shared" si="103"/>
        <v>Bystré</v>
      </c>
      <c r="C490" s="330" t="str">
        <f t="shared" si="103"/>
        <v>Stanica</v>
      </c>
      <c r="D490" s="384">
        <v>0</v>
      </c>
    </row>
    <row r="491" spans="2:4">
      <c r="B491" s="330" t="str">
        <f t="shared" si="103"/>
        <v xml:space="preserve">Bystré  - Čierne nad Topľou/mimo/ </v>
      </c>
      <c r="C491" s="330" t="str">
        <f t="shared" si="103"/>
        <v>Medzistaničný úsek</v>
      </c>
      <c r="D491" s="384">
        <v>0</v>
      </c>
    </row>
    <row r="492" spans="2:4">
      <c r="B492" s="330" t="str">
        <f t="shared" si="103"/>
        <v>Čierne nad Topľou</v>
      </c>
      <c r="C492" s="330" t="str">
        <f t="shared" si="103"/>
        <v>Stanica</v>
      </c>
      <c r="D492" s="384">
        <v>0</v>
      </c>
    </row>
    <row r="493" spans="2:4">
      <c r="B493" s="330" t="str">
        <f t="shared" si="103"/>
        <v>Čierne nad Topľou/mimo/  - Hlinné</v>
      </c>
      <c r="C493" s="330" t="str">
        <f t="shared" si="103"/>
        <v>Medzistaničný úsek</v>
      </c>
      <c r="D493" s="384">
        <v>0</v>
      </c>
    </row>
    <row r="494" spans="2:4">
      <c r="B494" s="330" t="str">
        <f t="shared" si="103"/>
        <v>Hlinné</v>
      </c>
      <c r="C494" s="330" t="str">
        <f t="shared" si="103"/>
        <v>Stanica</v>
      </c>
      <c r="D494" s="384">
        <v>0</v>
      </c>
    </row>
    <row r="495" spans="2:4">
      <c r="B495" s="330" t="str">
        <f t="shared" si="103"/>
        <v>Hlinné - Soľ</v>
      </c>
      <c r="C495" s="330" t="str">
        <f t="shared" si="103"/>
        <v>Medzistaničný úsek</v>
      </c>
      <c r="D495" s="384">
        <v>0</v>
      </c>
    </row>
    <row r="496" spans="2:4">
      <c r="B496" s="330" t="str">
        <f t="shared" si="103"/>
        <v>Soľ</v>
      </c>
      <c r="C496" s="330" t="str">
        <f t="shared" si="103"/>
        <v>Stanica</v>
      </c>
      <c r="D496" s="384">
        <v>0</v>
      </c>
    </row>
    <row r="497" spans="2:4">
      <c r="B497" s="330" t="str">
        <f t="shared" si="103"/>
        <v xml:space="preserve">Soľ  - Komárany </v>
      </c>
      <c r="C497" s="330" t="str">
        <f t="shared" si="103"/>
        <v>Medzistaničný úsek</v>
      </c>
      <c r="D497" s="384">
        <v>0</v>
      </c>
    </row>
    <row r="498" spans="2:4">
      <c r="B498" s="330" t="str">
        <f t="shared" si="103"/>
        <v>Komárany</v>
      </c>
      <c r="C498" s="330" t="str">
        <f t="shared" si="103"/>
        <v>Stanica</v>
      </c>
      <c r="D498" s="384">
        <v>0</v>
      </c>
    </row>
    <row r="499" spans="2:4">
      <c r="B499" s="330" t="str">
        <f t="shared" si="103"/>
        <v xml:space="preserve">Komárany  - Vranov nad Topľou/mimo/ </v>
      </c>
      <c r="C499" s="330" t="str">
        <f t="shared" si="103"/>
        <v>Medzistaničný úsek</v>
      </c>
      <c r="D499" s="384">
        <v>0</v>
      </c>
    </row>
    <row r="500" spans="2:4">
      <c r="B500" s="330" t="str">
        <f t="shared" si="103"/>
        <v>Vranov nad Topľou</v>
      </c>
      <c r="C500" s="330" t="str">
        <f t="shared" si="103"/>
        <v>Stanica</v>
      </c>
      <c r="D500" s="384">
        <v>0</v>
      </c>
    </row>
    <row r="501" spans="2:4">
      <c r="B501" s="330" t="str">
        <f t="shared" si="103"/>
        <v>Vranov nad Topľou/mimo/  - Vranovské Dlhé</v>
      </c>
      <c r="C501" s="330" t="str">
        <f t="shared" si="103"/>
        <v>Medzistaničný úsek</v>
      </c>
      <c r="D501" s="384">
        <v>0</v>
      </c>
    </row>
    <row r="502" spans="2:4">
      <c r="B502" s="330" t="str">
        <f t="shared" ref="B502:C517" si="104">B447</f>
        <v>Vranovské Dlhé</v>
      </c>
      <c r="C502" s="330" t="str">
        <f t="shared" si="104"/>
        <v>Stanica</v>
      </c>
      <c r="D502" s="384">
        <v>0</v>
      </c>
    </row>
    <row r="503" spans="2:4">
      <c r="B503" s="330" t="str">
        <f t="shared" si="104"/>
        <v>Vranovské Dlhé  - Hencovce</v>
      </c>
      <c r="C503" s="330" t="str">
        <f t="shared" si="104"/>
        <v>Medzistaničný úsek</v>
      </c>
      <c r="D503" s="384">
        <v>0</v>
      </c>
    </row>
    <row r="504" spans="2:4">
      <c r="B504" s="330" t="str">
        <f t="shared" si="104"/>
        <v>Hencovce</v>
      </c>
      <c r="C504" s="330" t="str">
        <f t="shared" si="104"/>
        <v>Stanica</v>
      </c>
      <c r="D504" s="384">
        <v>0</v>
      </c>
    </row>
    <row r="505" spans="2:4">
      <c r="B505" s="330" t="str">
        <f t="shared" si="104"/>
        <v xml:space="preserve">Hencovce  - Nižný Hrabovec/mimo/ </v>
      </c>
      <c r="C505" s="330" t="str">
        <f t="shared" si="104"/>
        <v>Medzistaničný úsek</v>
      </c>
      <c r="D505" s="384">
        <v>0</v>
      </c>
    </row>
    <row r="506" spans="2:4">
      <c r="B506" s="330" t="str">
        <f t="shared" si="104"/>
        <v>Nižný Hrabovec</v>
      </c>
      <c r="C506" s="330" t="str">
        <f t="shared" si="104"/>
        <v>Stanica</v>
      </c>
      <c r="D506" s="384">
        <v>0</v>
      </c>
    </row>
    <row r="507" spans="2:4">
      <c r="B507" s="330" t="str">
        <f t="shared" si="104"/>
        <v xml:space="preserve">Nižný Hrabovec/mimo/  - Strážske/mimo/ </v>
      </c>
      <c r="C507" s="330" t="str">
        <f t="shared" si="104"/>
        <v>Medzistaničný úsek</v>
      </c>
      <c r="D507" s="384">
        <v>0.315</v>
      </c>
    </row>
    <row r="508" spans="2:4">
      <c r="B508" s="330" t="str">
        <f t="shared" si="104"/>
        <v>Strážske</v>
      </c>
      <c r="C508" s="330" t="str">
        <f t="shared" si="104"/>
        <v>Stanica</v>
      </c>
      <c r="D508" s="384">
        <v>0</v>
      </c>
    </row>
    <row r="509" spans="2:4">
      <c r="B509" s="330" t="str">
        <f t="shared" si="104"/>
        <v>Kapušany pri Prešove/mimo/ - Fulianka/mimo/</v>
      </c>
      <c r="C509" s="330" t="str">
        <f t="shared" si="104"/>
        <v>Medzistaničný úsek</v>
      </c>
      <c r="D509" s="384">
        <v>0</v>
      </c>
    </row>
    <row r="510" spans="2:4">
      <c r="B510" s="330" t="str">
        <f t="shared" si="104"/>
        <v>Fulianka</v>
      </c>
      <c r="C510" s="330" t="str">
        <f t="shared" si="104"/>
        <v>Stanica</v>
      </c>
      <c r="D510" s="384">
        <v>0</v>
      </c>
    </row>
    <row r="511" spans="2:4">
      <c r="B511" s="330" t="str">
        <f t="shared" si="104"/>
        <v>Fulianka/mimo/ - Tulčík/mimo/</v>
      </c>
      <c r="C511" s="330" t="str">
        <f t="shared" si="104"/>
        <v>Medzistaničný úsek</v>
      </c>
      <c r="D511" s="384">
        <v>0</v>
      </c>
    </row>
    <row r="512" spans="2:4">
      <c r="B512" s="330" t="str">
        <f t="shared" si="104"/>
        <v>Tulčík</v>
      </c>
      <c r="C512" s="330" t="str">
        <f t="shared" si="104"/>
        <v>Stanica</v>
      </c>
      <c r="D512" s="384">
        <v>0</v>
      </c>
    </row>
    <row r="513" spans="2:6">
      <c r="B513" s="330" t="str">
        <f t="shared" si="104"/>
        <v>Tulčík/mimo/ - Demjata/mimo/</v>
      </c>
      <c r="C513" s="330" t="str">
        <f t="shared" si="104"/>
        <v>Medzistaničný úsek</v>
      </c>
      <c r="D513" s="384">
        <v>0</v>
      </c>
    </row>
    <row r="514" spans="2:6">
      <c r="B514" s="330" t="str">
        <f t="shared" si="104"/>
        <v>Demjata</v>
      </c>
      <c r="C514" s="330" t="str">
        <f t="shared" si="104"/>
        <v>Stanica</v>
      </c>
      <c r="D514" s="384">
        <v>0</v>
      </c>
    </row>
    <row r="515" spans="2:6">
      <c r="B515" s="330" t="str">
        <f t="shared" si="104"/>
        <v>Demjata/mimo/ - Demjata obec/mimo/</v>
      </c>
      <c r="C515" s="330" t="str">
        <f t="shared" si="104"/>
        <v>Medzistaničný úsek</v>
      </c>
      <c r="D515" s="384">
        <v>0</v>
      </c>
    </row>
    <row r="516" spans="2:6">
      <c r="B516" s="330" t="str">
        <f t="shared" si="104"/>
        <v>Demjata obec</v>
      </c>
      <c r="C516" s="330" t="str">
        <f t="shared" si="104"/>
        <v>Stanica</v>
      </c>
      <c r="D516" s="384">
        <v>0</v>
      </c>
    </row>
    <row r="517" spans="2:6">
      <c r="B517" s="330" t="str">
        <f t="shared" si="104"/>
        <v>Demjata obec/mimo/ - Raslavice/mimo/</v>
      </c>
      <c r="C517" s="330" t="str">
        <f t="shared" si="104"/>
        <v>Medzistaničný úsek</v>
      </c>
      <c r="D517" s="384">
        <v>0</v>
      </c>
    </row>
    <row r="518" spans="2:6">
      <c r="B518" s="330" t="str">
        <f t="shared" ref="B518:C518" si="105">B463</f>
        <v>Raslavice</v>
      </c>
      <c r="C518" s="330" t="str">
        <f t="shared" si="105"/>
        <v>Stanica</v>
      </c>
      <c r="D518" s="384">
        <v>0</v>
      </c>
    </row>
    <row r="521" spans="2:6" ht="15.75" thickBot="1"/>
    <row r="522" spans="2:6">
      <c r="B522" s="931" t="s">
        <v>689</v>
      </c>
      <c r="C522" s="932"/>
      <c r="D522" s="933"/>
    </row>
    <row r="523" spans="2:6" ht="15.75" thickBot="1">
      <c r="B523" s="934"/>
      <c r="C523" s="935"/>
      <c r="D523" s="936"/>
    </row>
    <row r="525" spans="2:6" ht="15.75" thickBot="1"/>
    <row r="526" spans="2:6" ht="21.75" thickBot="1">
      <c r="B526" s="929" t="s">
        <v>599</v>
      </c>
      <c r="C526" s="930"/>
      <c r="D526" s="937"/>
    </row>
    <row r="527" spans="2:6" ht="4.5" customHeight="1">
      <c r="B527" s="385"/>
      <c r="C527" s="386"/>
      <c r="D527" s="386"/>
    </row>
    <row r="528" spans="2:6">
      <c r="B528" s="911" t="s">
        <v>690</v>
      </c>
      <c r="C528" s="330" t="str">
        <f t="shared" ref="C528:C535" si="106">B597</f>
        <v>Dĺžka medzistaničného úseku  [km] =&gt; 1-koľaj - 1. telefonické dorozumievanie</v>
      </c>
      <c r="D528" s="368">
        <f>(C597*C590)*F528</f>
        <v>8081.2153195055062</v>
      </c>
      <c r="E528" s="389" t="s">
        <v>656</v>
      </c>
      <c r="F528" s="390">
        <v>1</v>
      </c>
    </row>
    <row r="529" spans="2:6">
      <c r="B529" s="911"/>
      <c r="C529" s="330" t="str">
        <f t="shared" si="106"/>
        <v>Dĺžka medzistaničného úseku  [km] =&gt; 2-koľaj - 1. telefonické dorozumievanie</v>
      </c>
      <c r="D529" s="368">
        <f>(C598*C591)*F529</f>
        <v>0</v>
      </c>
      <c r="E529" s="389" t="s">
        <v>656</v>
      </c>
      <c r="F529" s="390">
        <v>1</v>
      </c>
    </row>
    <row r="530" spans="2:6">
      <c r="B530" s="911"/>
      <c r="C530" s="330" t="str">
        <f t="shared" si="106"/>
        <v>Dĺžka medzistaničného úseku  [km] =&gt; 1-koľaj - 2. poloautomatický blok</v>
      </c>
      <c r="D530" s="368">
        <f>(C599*D590)*F530</f>
        <v>0</v>
      </c>
      <c r="E530" s="389" t="s">
        <v>656</v>
      </c>
      <c r="F530" s="390">
        <v>1</v>
      </c>
    </row>
    <row r="531" spans="2:6">
      <c r="B531" s="911"/>
      <c r="C531" s="330" t="str">
        <f t="shared" si="106"/>
        <v>Dĺžka medzistaničného úseku  [km] =&gt; 2-koľaj - 2. poloautomatický blok</v>
      </c>
      <c r="D531" s="368">
        <f>(C600*D591)*F531</f>
        <v>0</v>
      </c>
      <c r="E531" s="389" t="s">
        <v>656</v>
      </c>
      <c r="F531" s="390">
        <v>1</v>
      </c>
    </row>
    <row r="532" spans="2:6">
      <c r="B532" s="911"/>
      <c r="C532" s="330" t="str">
        <f t="shared" si="106"/>
        <v>Dĺžka medzistaničného úseku  [km] =&gt; 1-koľaj - 3. automatické hradlo</v>
      </c>
      <c r="D532" s="368">
        <f>(C601*E590)*F532</f>
        <v>691.60895851601322</v>
      </c>
      <c r="E532" s="389" t="s">
        <v>656</v>
      </c>
      <c r="F532" s="390">
        <v>1</v>
      </c>
    </row>
    <row r="533" spans="2:6">
      <c r="B533" s="911"/>
      <c r="C533" s="330" t="str">
        <f t="shared" si="106"/>
        <v>Dĺžka medzistaničného úseku  [km] =&gt; 2-koľaj - 3. automatické hradlo</v>
      </c>
      <c r="D533" s="368">
        <f>(C602*E591)*F533</f>
        <v>0</v>
      </c>
      <c r="E533" s="389" t="s">
        <v>656</v>
      </c>
      <c r="F533" s="390">
        <v>1</v>
      </c>
    </row>
    <row r="534" spans="2:6">
      <c r="B534" s="911"/>
      <c r="C534" s="330" t="str">
        <f t="shared" si="106"/>
        <v>Dĺžka medzistaničného úseku  [km] =&gt; 1-koľaj - 4. automatický blok</v>
      </c>
      <c r="D534" s="368">
        <f>(C603*F590)*F534</f>
        <v>0</v>
      </c>
      <c r="E534" s="389" t="s">
        <v>656</v>
      </c>
      <c r="F534" s="390">
        <v>1</v>
      </c>
    </row>
    <row r="535" spans="2:6">
      <c r="B535" s="911"/>
      <c r="C535" s="330" t="str">
        <f t="shared" si="106"/>
        <v>Dĺžka medzistaničného úseku  [km] =&gt; 2-koľaj - 4. automatický blok</v>
      </c>
      <c r="D535" s="368">
        <f>(C604*F591)*F535</f>
        <v>0</v>
      </c>
      <c r="E535" s="389" t="s">
        <v>656</v>
      </c>
      <c r="F535" s="390">
        <v>1</v>
      </c>
    </row>
    <row r="536" spans="2:6" ht="4.5" customHeight="1">
      <c r="B536" s="387"/>
      <c r="D536" s="368"/>
      <c r="F536" s="553"/>
    </row>
    <row r="537" spans="2:6">
      <c r="B537" s="911" t="s">
        <v>691</v>
      </c>
      <c r="C537" s="330" t="str">
        <f t="shared" ref="C537:C542" si="107">B663</f>
        <v>Dĺžka medzistaničného úseku  [km] =&gt; 1-koľaj - AHr - 1 dodatočný priestorový oddiel</v>
      </c>
      <c r="D537" s="368">
        <f>(C663*C657)*F537</f>
        <v>0</v>
      </c>
      <c r="E537" s="389" t="s">
        <v>656</v>
      </c>
      <c r="F537" s="390">
        <v>1</v>
      </c>
    </row>
    <row r="538" spans="2:6">
      <c r="B538" s="911"/>
      <c r="C538" s="330" t="str">
        <f t="shared" si="107"/>
        <v>Dĺžka medzistaničného úseku  [km] =&gt; 2-koľaj - AHr - 1 dodatočný priestorový oddiel</v>
      </c>
      <c r="D538" s="368">
        <f>(C664*C658)*F538</f>
        <v>0</v>
      </c>
      <c r="E538" s="389" t="s">
        <v>656</v>
      </c>
      <c r="F538" s="390">
        <v>1</v>
      </c>
    </row>
    <row r="539" spans="2:6">
      <c r="B539" s="911"/>
      <c r="C539" s="330" t="str">
        <f t="shared" si="107"/>
        <v>Dĺžka medzistaničného úseku  [km] =&gt; 1-koľaj - Nadstavba ETCS</v>
      </c>
      <c r="D539" s="368">
        <f>(C665*D657)*F539</f>
        <v>0</v>
      </c>
      <c r="E539" s="389" t="s">
        <v>656</v>
      </c>
      <c r="F539" s="390">
        <v>1</v>
      </c>
    </row>
    <row r="540" spans="2:6">
      <c r="B540" s="911"/>
      <c r="C540" s="330" t="str">
        <f t="shared" si="107"/>
        <v>Dĺžka medzistaničného úseku  [km] =&gt; 2-koľaj - Nadstavba ETCS</v>
      </c>
      <c r="D540" s="368">
        <f>(C666*D658)*F540</f>
        <v>0</v>
      </c>
      <c r="E540" s="389" t="s">
        <v>656</v>
      </c>
      <c r="F540" s="390">
        <v>1</v>
      </c>
    </row>
    <row r="541" spans="2:6">
      <c r="B541" s="911"/>
      <c r="C541" s="330" t="str">
        <f t="shared" si="107"/>
        <v>Dĺžka medzistaničného úseku  [km] =&gt; 1-koľaj - Nadstavba GSM-R</v>
      </c>
      <c r="D541" s="368">
        <f>(C667*E657)*F541</f>
        <v>0</v>
      </c>
      <c r="E541" s="389" t="s">
        <v>656</v>
      </c>
      <c r="F541" s="390">
        <v>1</v>
      </c>
    </row>
    <row r="542" spans="2:6">
      <c r="B542" s="911"/>
      <c r="C542" s="330" t="str">
        <f t="shared" si="107"/>
        <v>Dĺžka medzistaničného úseku  [km] =&gt; 2-koľaj - Nadstavba GSM-R</v>
      </c>
      <c r="D542" s="368">
        <f>(C668*E658)*F542</f>
        <v>0</v>
      </c>
      <c r="E542" s="389" t="s">
        <v>656</v>
      </c>
      <c r="F542" s="390">
        <v>1</v>
      </c>
    </row>
    <row r="543" spans="2:6" ht="4.5" customHeight="1">
      <c r="B543" s="387"/>
      <c r="D543" s="368"/>
      <c r="F543" s="553"/>
    </row>
    <row r="544" spans="2:6">
      <c r="B544" s="911" t="s">
        <v>692</v>
      </c>
      <c r="C544" s="330" t="str">
        <f t="shared" ref="C544:C549" si="108">B728</f>
        <v>Počet staníc [ks] - Bez návestidiel (nákladisko)</v>
      </c>
      <c r="D544" s="368">
        <f>(C728*B721)*F544</f>
        <v>0</v>
      </c>
      <c r="E544" s="389" t="s">
        <v>656</v>
      </c>
      <c r="F544" s="390">
        <v>1</v>
      </c>
    </row>
    <row r="545" spans="2:7">
      <c r="B545" s="911"/>
      <c r="C545" s="330" t="str">
        <f t="shared" si="108"/>
        <v>Počet staníc [ks] - Malá stanica s vchodovými / krycími návestidlami</v>
      </c>
      <c r="D545" s="368">
        <f>(C729*C721)*F545</f>
        <v>52200.938697250182</v>
      </c>
      <c r="E545" s="389" t="s">
        <v>656</v>
      </c>
      <c r="F545" s="390">
        <v>1</v>
      </c>
    </row>
    <row r="546" spans="2:7">
      <c r="B546" s="911"/>
      <c r="C546" s="330" t="str">
        <f t="shared" si="108"/>
        <v>Počet staníc [ks] - Veľká stanica s vchodovými / krycími návestidlami</v>
      </c>
      <c r="D546" s="368">
        <f>(C730*D721)*F546</f>
        <v>0</v>
      </c>
      <c r="E546" s="389" t="s">
        <v>656</v>
      </c>
      <c r="F546" s="390">
        <v>1</v>
      </c>
    </row>
    <row r="547" spans="2:7">
      <c r="B547" s="911"/>
      <c r="C547" s="330" t="str">
        <f t="shared" si="108"/>
        <v>Počet výhybkových jednotiek [ks] - Ručne prestavované výmeny</v>
      </c>
      <c r="D547" s="368">
        <f>(C731*E721)*F547</f>
        <v>185168.54716295944</v>
      </c>
      <c r="E547" s="389" t="s">
        <v>656</v>
      </c>
      <c r="F547" s="390">
        <v>1</v>
      </c>
    </row>
    <row r="548" spans="2:7">
      <c r="B548" s="911"/>
      <c r="C548" s="330" t="str">
        <f t="shared" si="108"/>
        <v>Počet výhybkových jednotiek [ks] - Ústredne prestavované výmeny</v>
      </c>
      <c r="D548" s="368">
        <f>(C732*F721)*F548</f>
        <v>58227.134019121644</v>
      </c>
      <c r="E548" s="389" t="s">
        <v>656</v>
      </c>
      <c r="F548" s="390">
        <v>1</v>
      </c>
    </row>
    <row r="549" spans="2:7">
      <c r="B549" s="911"/>
      <c r="C549" s="330" t="str">
        <f t="shared" si="108"/>
        <v>Počet výhybkových jednotiek [ks] - Elektronické stavadlo a reléové (vrátane DOZZ)</v>
      </c>
      <c r="D549" s="368">
        <f>(C733*G721)*F549</f>
        <v>0</v>
      </c>
      <c r="E549" s="389" t="s">
        <v>656</v>
      </c>
      <c r="F549" s="390">
        <v>1</v>
      </c>
    </row>
    <row r="550" spans="2:7" ht="4.5" customHeight="1">
      <c r="B550" s="387"/>
      <c r="D550" s="368"/>
      <c r="F550" s="553"/>
    </row>
    <row r="551" spans="2:7">
      <c r="B551" s="911" t="s">
        <v>693</v>
      </c>
      <c r="C551" s="330" t="str">
        <f>B882</f>
        <v>Počet PZZ [ks] - Mechanické</v>
      </c>
      <c r="D551" s="368">
        <f>(C882*B877)*F551</f>
        <v>0</v>
      </c>
      <c r="E551" s="389" t="s">
        <v>656</v>
      </c>
      <c r="F551" s="390">
        <v>1</v>
      </c>
    </row>
    <row r="552" spans="2:7">
      <c r="B552" s="911"/>
      <c r="C552" s="330" t="str">
        <f>B883</f>
        <v>Počet PZZ [ks] - Svetelné bez zázvor</v>
      </c>
      <c r="D552" s="368">
        <f>(C883*C877)*F552</f>
        <v>22367.358740141084</v>
      </c>
      <c r="E552" s="389" t="s">
        <v>656</v>
      </c>
      <c r="F552" s="390">
        <v>1</v>
      </c>
    </row>
    <row r="553" spans="2:7" ht="15.75" thickBot="1">
      <c r="B553" s="911"/>
      <c r="C553" s="330" t="str">
        <f>B884</f>
        <v>Počet PZZ [ks] - Svetelné so závorami</v>
      </c>
      <c r="D553" s="368">
        <f>(C884*D877)*F553</f>
        <v>51081.788137474054</v>
      </c>
      <c r="E553" s="389" t="s">
        <v>656</v>
      </c>
      <c r="F553" s="390">
        <v>1</v>
      </c>
    </row>
    <row r="554" spans="2:7" ht="19.5" thickBot="1">
      <c r="C554" s="392" t="s">
        <v>602</v>
      </c>
      <c r="D554" s="393">
        <f>SUM(D528:D553)</f>
        <v>377818.59103496792</v>
      </c>
    </row>
    <row r="556" spans="2:7" ht="15.75" thickBot="1"/>
    <row r="557" spans="2:7" ht="21.75" thickBot="1">
      <c r="B557" s="929" t="s">
        <v>600</v>
      </c>
      <c r="C557" s="930"/>
      <c r="D557" s="612">
        <v>2027</v>
      </c>
      <c r="E557" s="613" t="s">
        <v>839</v>
      </c>
    </row>
    <row r="558" spans="2:7" ht="4.5" customHeight="1">
      <c r="B558" s="385"/>
      <c r="D558" s="347"/>
    </row>
    <row r="559" spans="2:7">
      <c r="B559" s="911" t="s">
        <v>690</v>
      </c>
      <c r="C559" s="330" t="str">
        <f>B597</f>
        <v>Dĺžka medzistaničného úseku  [km] =&gt; 1-koľaj - 1. telefonické dorozumievanie</v>
      </c>
      <c r="D559" s="368">
        <f>E597*C590+(D597*C590)*G559</f>
        <v>6815.5956041258569</v>
      </c>
      <c r="E559" s="368">
        <f>G597*C590+(F597*C590)*G559</f>
        <v>1750.3332142919185</v>
      </c>
      <c r="F559" s="389" t="s">
        <v>656</v>
      </c>
      <c r="G559" s="390">
        <f>F528</f>
        <v>1</v>
      </c>
    </row>
    <row r="560" spans="2:7">
      <c r="B560" s="911"/>
      <c r="C560" s="330" t="str">
        <f t="shared" ref="C560:C566" si="109">B598</f>
        <v>Dĺžka medzistaničného úseku  [km] =&gt; 2-koľaj - 1. telefonické dorozumievanie</v>
      </c>
      <c r="D560" s="368">
        <f>E598*C591+(D598*C591)*G560</f>
        <v>0</v>
      </c>
      <c r="E560" s="368">
        <f>G598*C591+(F598*C591)*G560</f>
        <v>0</v>
      </c>
      <c r="F560" s="389" t="s">
        <v>656</v>
      </c>
      <c r="G560" s="390">
        <f t="shared" ref="G560:G584" si="110">F529</f>
        <v>1</v>
      </c>
    </row>
    <row r="561" spans="2:7">
      <c r="B561" s="911"/>
      <c r="C561" s="330" t="str">
        <f t="shared" si="109"/>
        <v>Dĺžka medzistaničného úseku  [km] =&gt; 1-koľaj - 2. poloautomatický blok</v>
      </c>
      <c r="D561" s="368">
        <f>E599*D590+(D599*D590)*G561</f>
        <v>0</v>
      </c>
      <c r="E561" s="368">
        <f>G599*D590+(F599*D590)*G561</f>
        <v>0</v>
      </c>
      <c r="F561" s="389" t="s">
        <v>656</v>
      </c>
      <c r="G561" s="390">
        <f t="shared" si="110"/>
        <v>1</v>
      </c>
    </row>
    <row r="562" spans="2:7">
      <c r="B562" s="911"/>
      <c r="C562" s="330" t="str">
        <f t="shared" si="109"/>
        <v>Dĺžka medzistaničného úseku  [km] =&gt; 2-koľaj - 2. poloautomatický blok</v>
      </c>
      <c r="D562" s="368">
        <f>E600*D591+(D600*D591)*G562</f>
        <v>0</v>
      </c>
      <c r="E562" s="368">
        <f>G600*D591+(F600*D591)*G562</f>
        <v>0</v>
      </c>
      <c r="F562" s="389" t="s">
        <v>656</v>
      </c>
      <c r="G562" s="390">
        <f t="shared" si="110"/>
        <v>1</v>
      </c>
    </row>
    <row r="563" spans="2:7">
      <c r="B563" s="911"/>
      <c r="C563" s="330" t="str">
        <f t="shared" si="109"/>
        <v>Dĺžka medzistaničného úseku  [km] =&gt; 1-koľaj - 3. automatické hradlo</v>
      </c>
      <c r="D563" s="368">
        <f>E601*E590+(D601*E590)*G563</f>
        <v>3927.4201895897568</v>
      </c>
      <c r="E563" s="368">
        <f>G601*E590+(F601*E590)*G563</f>
        <v>16877.781763598177</v>
      </c>
      <c r="F563" s="389" t="s">
        <v>656</v>
      </c>
      <c r="G563" s="390">
        <f t="shared" si="110"/>
        <v>1</v>
      </c>
    </row>
    <row r="564" spans="2:7">
      <c r="B564" s="911"/>
      <c r="C564" s="330" t="str">
        <f t="shared" si="109"/>
        <v>Dĺžka medzistaničného úseku  [km] =&gt; 2-koľaj - 3. automatické hradlo</v>
      </c>
      <c r="D564" s="368">
        <f>E602*E591+(D602*E591)*G564</f>
        <v>0</v>
      </c>
      <c r="E564" s="368">
        <f>G602*E591+(F602*E591)*G564</f>
        <v>0</v>
      </c>
      <c r="F564" s="389" t="s">
        <v>656</v>
      </c>
      <c r="G564" s="390">
        <f t="shared" si="110"/>
        <v>1</v>
      </c>
    </row>
    <row r="565" spans="2:7">
      <c r="B565" s="911"/>
      <c r="C565" s="330" t="str">
        <f t="shared" si="109"/>
        <v>Dĺžka medzistaničného úseku  [km] =&gt; 1-koľaj - 4. automatický blok</v>
      </c>
      <c r="D565" s="368">
        <f>E603*F590+(D603*F590)*G565</f>
        <v>0</v>
      </c>
      <c r="E565" s="368">
        <f>G603*F590+(F603*F590)*G565</f>
        <v>0</v>
      </c>
      <c r="F565" s="389" t="s">
        <v>656</v>
      </c>
      <c r="G565" s="390">
        <f t="shared" si="110"/>
        <v>1</v>
      </c>
    </row>
    <row r="566" spans="2:7">
      <c r="B566" s="911"/>
      <c r="C566" s="330" t="str">
        <f t="shared" si="109"/>
        <v>Dĺžka medzistaničného úseku  [km] =&gt; 2-koľaj - 4. automatický blok</v>
      </c>
      <c r="D566" s="368">
        <f>E604*F591+(D604*F591)*G566</f>
        <v>0</v>
      </c>
      <c r="E566" s="368">
        <f>G604*F591+(F604*F591)*G566</f>
        <v>0</v>
      </c>
      <c r="F566" s="389" t="s">
        <v>656</v>
      </c>
      <c r="G566" s="390">
        <f t="shared" si="110"/>
        <v>1</v>
      </c>
    </row>
    <row r="567" spans="2:7" ht="4.5" customHeight="1">
      <c r="B567" s="387"/>
      <c r="D567" s="368"/>
      <c r="E567" s="368"/>
      <c r="G567" s="541"/>
    </row>
    <row r="568" spans="2:7">
      <c r="B568" s="911" t="s">
        <v>691</v>
      </c>
      <c r="C568" s="330" t="str">
        <f>B663</f>
        <v>Dĺžka medzistaničného úseku  [km] =&gt; 1-koľaj - AHr - 1 dodatočný priestorový oddiel</v>
      </c>
      <c r="D568" s="368">
        <f>E663*C657+(D663*C657)*G568</f>
        <v>0</v>
      </c>
      <c r="E568" s="368">
        <f>G663*C657+(F663*C657)*G568</f>
        <v>4406.1661898878338</v>
      </c>
      <c r="F568" s="389" t="s">
        <v>656</v>
      </c>
      <c r="G568" s="390">
        <f t="shared" si="110"/>
        <v>1</v>
      </c>
    </row>
    <row r="569" spans="2:7">
      <c r="B569" s="911"/>
      <c r="C569" s="330" t="str">
        <f t="shared" ref="C569:C573" si="111">B664</f>
        <v>Dĺžka medzistaničného úseku  [km] =&gt; 2-koľaj - AHr - 1 dodatočný priestorový oddiel</v>
      </c>
      <c r="D569" s="368">
        <f>E664*C658+(D664*C658)*G569</f>
        <v>0</v>
      </c>
      <c r="E569" s="368">
        <f>G664*C658+(F664*C658)*G569</f>
        <v>0</v>
      </c>
      <c r="F569" s="389" t="s">
        <v>656</v>
      </c>
      <c r="G569" s="390">
        <f t="shared" si="110"/>
        <v>1</v>
      </c>
    </row>
    <row r="570" spans="2:7">
      <c r="B570" s="911"/>
      <c r="C570" s="330" t="str">
        <f t="shared" si="111"/>
        <v>Dĺžka medzistaničného úseku  [km] =&gt; 1-koľaj - Nadstavba ETCS</v>
      </c>
      <c r="D570" s="368">
        <f>E665*D657+(D665*D657)*G570</f>
        <v>0</v>
      </c>
      <c r="E570" s="368">
        <f>G665*D657+(F665*D657)*G570</f>
        <v>0</v>
      </c>
      <c r="F570" s="389" t="s">
        <v>656</v>
      </c>
      <c r="G570" s="390">
        <f t="shared" si="110"/>
        <v>1</v>
      </c>
    </row>
    <row r="571" spans="2:7">
      <c r="B571" s="911"/>
      <c r="C571" s="330" t="str">
        <f t="shared" si="111"/>
        <v>Dĺžka medzistaničného úseku  [km] =&gt; 2-koľaj - Nadstavba ETCS</v>
      </c>
      <c r="D571" s="368">
        <f>E666*D658+(D666*D658)*G571</f>
        <v>0</v>
      </c>
      <c r="E571" s="368">
        <f>G666*D658+(F666*D658)*G571</f>
        <v>0</v>
      </c>
      <c r="F571" s="389" t="s">
        <v>656</v>
      </c>
      <c r="G571" s="390">
        <f t="shared" si="110"/>
        <v>1</v>
      </c>
    </row>
    <row r="572" spans="2:7">
      <c r="B572" s="911"/>
      <c r="C572" s="330" t="str">
        <f t="shared" si="111"/>
        <v>Dĺžka medzistaničného úseku  [km] =&gt; 1-koľaj - Nadstavba GSM-R</v>
      </c>
      <c r="D572" s="368">
        <f>E667*E657+(D667*E657)*G572</f>
        <v>0</v>
      </c>
      <c r="E572" s="368">
        <f>G667*E657+(F667*E657)*G572</f>
        <v>5222.9895739705935</v>
      </c>
      <c r="F572" s="389" t="s">
        <v>656</v>
      </c>
      <c r="G572" s="390">
        <f t="shared" si="110"/>
        <v>1</v>
      </c>
    </row>
    <row r="573" spans="2:7">
      <c r="B573" s="911"/>
      <c r="C573" s="330" t="str">
        <f t="shared" si="111"/>
        <v>Dĺžka medzistaničného úseku  [km] =&gt; 2-koľaj - Nadstavba GSM-R</v>
      </c>
      <c r="D573" s="368">
        <f>E668*E658+(D668*E658)*G573</f>
        <v>0</v>
      </c>
      <c r="E573" s="368">
        <f>G668*E658+(F668*E658)*G573</f>
        <v>0</v>
      </c>
      <c r="F573" s="389" t="s">
        <v>656</v>
      </c>
      <c r="G573" s="390">
        <f t="shared" si="110"/>
        <v>1</v>
      </c>
    </row>
    <row r="574" spans="2:7" ht="4.5" customHeight="1">
      <c r="B574" s="387"/>
      <c r="D574" s="368"/>
      <c r="E574" s="368"/>
      <c r="G574" s="541"/>
    </row>
    <row r="575" spans="2:7">
      <c r="B575" s="911" t="s">
        <v>692</v>
      </c>
      <c r="C575" s="330" t="str">
        <f>B728</f>
        <v>Počet staníc [ks] - Bez návestidiel (nákladisko)</v>
      </c>
      <c r="D575" s="368">
        <f>F728*B721+E728*B721+(D728*B721)*G575</f>
        <v>0</v>
      </c>
      <c r="E575" s="368">
        <f>I728*B721+H728*B721+(G728*B721)*G575</f>
        <v>0</v>
      </c>
      <c r="F575" s="389" t="s">
        <v>656</v>
      </c>
      <c r="G575" s="390">
        <f t="shared" si="110"/>
        <v>1</v>
      </c>
    </row>
    <row r="576" spans="2:7">
      <c r="B576" s="911"/>
      <c r="C576" s="330" t="str">
        <f t="shared" ref="C576:C580" si="112">B729</f>
        <v>Počet staníc [ks] - Malá stanica s vchodovými / krycími návestidlami</v>
      </c>
      <c r="D576" s="368">
        <f>F729*C721+E729*C721+(D729*C721)*G576</f>
        <v>0</v>
      </c>
      <c r="E576" s="368">
        <f>I729*C721+H729*C721+(G729*C721)*G576</f>
        <v>0</v>
      </c>
      <c r="F576" s="389" t="s">
        <v>656</v>
      </c>
      <c r="G576" s="390">
        <f t="shared" si="110"/>
        <v>1</v>
      </c>
    </row>
    <row r="577" spans="2:7">
      <c r="B577" s="911"/>
      <c r="C577" s="330" t="str">
        <f t="shared" si="112"/>
        <v>Počet staníc [ks] - Veľká stanica s vchodovými / krycími návestidlami</v>
      </c>
      <c r="D577" s="368">
        <f>F730*D721+E730*D721+(D730*D721)*G577</f>
        <v>0</v>
      </c>
      <c r="E577" s="368">
        <f>I730*D721+H730*D721+(G730*D721)*G577</f>
        <v>0</v>
      </c>
      <c r="F577" s="389" t="s">
        <v>656</v>
      </c>
      <c r="G577" s="390">
        <f t="shared" si="110"/>
        <v>1</v>
      </c>
    </row>
    <row r="578" spans="2:7">
      <c r="B578" s="911"/>
      <c r="C578" s="330" t="str">
        <f t="shared" si="112"/>
        <v>Počet výhybkových jednotiek [ks] - Ručne prestavované výmeny</v>
      </c>
      <c r="D578" s="368">
        <f>F731*E721+E731*E721+(D731*E721)*G578</f>
        <v>185168.54716295944</v>
      </c>
      <c r="E578" s="368">
        <f>I731*E721+H731*E721+(G731*E721)*G578</f>
        <v>126972.71805460076</v>
      </c>
      <c r="F578" s="389" t="s">
        <v>656</v>
      </c>
      <c r="G578" s="390">
        <f t="shared" si="110"/>
        <v>1</v>
      </c>
    </row>
    <row r="579" spans="2:7">
      <c r="B579" s="911"/>
      <c r="C579" s="330" t="str">
        <f t="shared" si="112"/>
        <v>Počet výhybkových jednotiek [ks] - Ústredne prestavované výmeny</v>
      </c>
      <c r="D579" s="368">
        <f>F732*F721+E732*F721+(D732*F721)*G579</f>
        <v>26202.210308604739</v>
      </c>
      <c r="E579" s="368">
        <f>I732*F721+H732*F721+(G732*F721)*G579</f>
        <v>0</v>
      </c>
      <c r="F579" s="389" t="s">
        <v>656</v>
      </c>
      <c r="G579" s="390">
        <f t="shared" si="110"/>
        <v>1</v>
      </c>
    </row>
    <row r="580" spans="2:7">
      <c r="B580" s="911"/>
      <c r="C580" s="330" t="str">
        <f t="shared" si="112"/>
        <v>Počet výhybkových jednotiek [ks] - Elektronické stavadlo a reléové (vrátane DOZZ)</v>
      </c>
      <c r="D580" s="368">
        <f>F733*G721+E733*G721+(D733*G721)*G580</f>
        <v>51007.438974412005</v>
      </c>
      <c r="E580" s="368">
        <f>I733*G721+H733*G721+(G733*G721)*G580</f>
        <v>194755.67608411858</v>
      </c>
      <c r="F580" s="389" t="s">
        <v>656</v>
      </c>
      <c r="G580" s="390">
        <f t="shared" si="110"/>
        <v>1</v>
      </c>
    </row>
    <row r="581" spans="2:7" ht="4.5" customHeight="1">
      <c r="B581" s="387"/>
      <c r="C581" s="392"/>
      <c r="D581" s="372"/>
      <c r="E581" s="368"/>
      <c r="G581" s="541"/>
    </row>
    <row r="582" spans="2:7">
      <c r="B582" s="911" t="s">
        <v>693</v>
      </c>
      <c r="C582" s="330" t="str">
        <f>B882</f>
        <v>Počet PZZ [ks] - Mechanické</v>
      </c>
      <c r="D582" s="368">
        <f>E882*B877+(D882*B877)*G582</f>
        <v>0</v>
      </c>
      <c r="E582" s="368">
        <f>G882*B877+(F882*B877)*G582</f>
        <v>0</v>
      </c>
      <c r="F582" s="389" t="s">
        <v>656</v>
      </c>
      <c r="G582" s="390">
        <f t="shared" si="110"/>
        <v>1</v>
      </c>
    </row>
    <row r="583" spans="2:7">
      <c r="B583" s="911"/>
      <c r="C583" s="330" t="str">
        <f t="shared" ref="C583:C584" si="113">B883</f>
        <v>Počet PZZ [ks] - Svetelné bez zázvor</v>
      </c>
      <c r="D583" s="368">
        <f>E883*C877+(D883*C877)*G583</f>
        <v>22367.358740141084</v>
      </c>
      <c r="E583" s="368">
        <f>G883*C877+(F883*C877)*G583</f>
        <v>22367.358740141084</v>
      </c>
      <c r="F583" s="389" t="s">
        <v>656</v>
      </c>
      <c r="G583" s="390">
        <f t="shared" si="110"/>
        <v>1</v>
      </c>
    </row>
    <row r="584" spans="2:7" ht="15.75" thickBot="1">
      <c r="B584" s="911"/>
      <c r="C584" s="330" t="str">
        <f t="shared" si="113"/>
        <v>Počet PZZ [ks] - Svetelné so závorami</v>
      </c>
      <c r="D584" s="368">
        <f>E884*D877+(D884*D877)*G584</f>
        <v>51081.788137474054</v>
      </c>
      <c r="E584" s="368">
        <f>G884*D877+(F884*D877)*G584</f>
        <v>51081.788137474054</v>
      </c>
      <c r="F584" s="389" t="s">
        <v>656</v>
      </c>
      <c r="G584" s="390">
        <f t="shared" si="110"/>
        <v>1</v>
      </c>
    </row>
    <row r="585" spans="2:7" ht="19.5" thickBot="1">
      <c r="C585" s="392" t="s">
        <v>602</v>
      </c>
      <c r="D585" s="393">
        <f>SUM(D559:D584)</f>
        <v>346570.35911730689</v>
      </c>
      <c r="E585" s="393">
        <f>SUM(E559:E584)</f>
        <v>423434.81175808294</v>
      </c>
    </row>
    <row r="588" spans="2:7">
      <c r="B588" s="415" t="s">
        <v>355</v>
      </c>
      <c r="C588" s="904" t="s">
        <v>337</v>
      </c>
      <c r="D588" s="904"/>
      <c r="E588" s="904"/>
      <c r="F588" s="904"/>
    </row>
    <row r="589" spans="2:7">
      <c r="B589" s="395" t="s">
        <v>316</v>
      </c>
      <c r="C589" s="432" t="s">
        <v>338</v>
      </c>
      <c r="D589" s="432" t="s">
        <v>339</v>
      </c>
      <c r="E589" s="432" t="s">
        <v>694</v>
      </c>
      <c r="F589" s="433" t="s">
        <v>343</v>
      </c>
    </row>
    <row r="590" spans="2:7">
      <c r="B590" s="416" t="s">
        <v>341</v>
      </c>
      <c r="C590" s="434">
        <f>Parametre!C78</f>
        <v>126.52401433366487</v>
      </c>
      <c r="D590" s="434">
        <f>Parametre!D78</f>
        <v>553.05342347911244</v>
      </c>
      <c r="E590" s="434">
        <f>Parametre!E78</f>
        <v>323.48407788400914</v>
      </c>
      <c r="F590" s="434">
        <f>Parametre!F78</f>
        <v>1711.3351217089516</v>
      </c>
    </row>
    <row r="591" spans="2:7">
      <c r="B591" s="416" t="s">
        <v>342</v>
      </c>
      <c r="C591" s="434">
        <f>Parametre!C79</f>
        <v>254.3523999491201</v>
      </c>
      <c r="D591" s="434">
        <f>Parametre!D79</f>
        <v>1008.2790008239479</v>
      </c>
      <c r="E591" s="434">
        <f>Parametre!E79</f>
        <v>645.66378448622788</v>
      </c>
      <c r="F591" s="434">
        <f>Parametre!F79</f>
        <v>3421.3658721361126</v>
      </c>
    </row>
    <row r="592" spans="2:7">
      <c r="B592" s="399" t="s">
        <v>695</v>
      </c>
      <c r="C592" s="331"/>
      <c r="D592" s="331"/>
      <c r="E592" s="331"/>
      <c r="F592" s="331"/>
    </row>
    <row r="594" spans="2:7" ht="15.75" thickBot="1"/>
    <row r="595" spans="2:7" ht="37.5" customHeight="1">
      <c r="C595" s="907" t="s">
        <v>599</v>
      </c>
      <c r="D595" s="909" t="s">
        <v>840</v>
      </c>
      <c r="E595" s="910"/>
      <c r="F595" s="909" t="s">
        <v>841</v>
      </c>
      <c r="G595" s="910"/>
    </row>
    <row r="596" spans="2:7" ht="15.75" thickBot="1">
      <c r="C596" s="908"/>
      <c r="D596" s="400" t="s">
        <v>671</v>
      </c>
      <c r="E596" s="401" t="s">
        <v>672</v>
      </c>
      <c r="F596" s="400" t="s">
        <v>671</v>
      </c>
      <c r="G596" s="401" t="s">
        <v>672</v>
      </c>
    </row>
    <row r="597" spans="2:7">
      <c r="B597" s="435" t="s">
        <v>696</v>
      </c>
      <c r="C597" s="436">
        <f>SUMIFS(F607:F651,D607:D651,"1-koľaj",E607:E651,C589)</f>
        <v>63.870999999999981</v>
      </c>
      <c r="D597" s="437">
        <f>C597+C601-E601</f>
        <v>53.867999999999981</v>
      </c>
      <c r="E597" s="438">
        <v>0</v>
      </c>
      <c r="F597" s="437">
        <f>C597+C601-G601</f>
        <v>13.833999999999989</v>
      </c>
      <c r="G597" s="438">
        <v>0</v>
      </c>
    </row>
    <row r="598" spans="2:7">
      <c r="B598" s="439" t="s">
        <v>697</v>
      </c>
      <c r="C598" s="440">
        <f>SUMIFS(F607:F651,D607:D651,"2-koľaj",E607:E651,C589)</f>
        <v>0</v>
      </c>
      <c r="D598" s="441">
        <v>0</v>
      </c>
      <c r="E598" s="442">
        <v>0</v>
      </c>
      <c r="F598" s="441">
        <v>0</v>
      </c>
      <c r="G598" s="442">
        <v>0</v>
      </c>
    </row>
    <row r="599" spans="2:7">
      <c r="B599" s="439" t="s">
        <v>698</v>
      </c>
      <c r="C599" s="440">
        <f>SUMIFS(F607:F651,D607:D651,"1-koľaj",E607:E651,D589)</f>
        <v>0</v>
      </c>
      <c r="D599" s="441">
        <v>0</v>
      </c>
      <c r="E599" s="442">
        <v>0</v>
      </c>
      <c r="F599" s="441">
        <v>0</v>
      </c>
      <c r="G599" s="442">
        <v>0</v>
      </c>
    </row>
    <row r="600" spans="2:7">
      <c r="B600" s="439" t="s">
        <v>699</v>
      </c>
      <c r="C600" s="440">
        <f>SUMIFS(F607:F651,D607:D651,"2-koľaj",E607:E651,D589)</f>
        <v>0</v>
      </c>
      <c r="D600" s="441">
        <v>0</v>
      </c>
      <c r="E600" s="442">
        <v>0</v>
      </c>
      <c r="F600" s="441">
        <v>0</v>
      </c>
      <c r="G600" s="442">
        <v>0</v>
      </c>
    </row>
    <row r="601" spans="2:7">
      <c r="B601" s="439" t="s">
        <v>700</v>
      </c>
      <c r="C601" s="440">
        <f>SUMIFS(F607:F651,D607:D651,"1-koľaj",E607:E651,E589)</f>
        <v>2.1380000000000052</v>
      </c>
      <c r="D601" s="441">
        <v>0</v>
      </c>
      <c r="E601" s="442">
        <f>SUM(F608:F614)</f>
        <v>12.141000000000005</v>
      </c>
      <c r="F601" s="441">
        <v>0</v>
      </c>
      <c r="G601" s="442">
        <f>SUM(F608:F641)</f>
        <v>52.174999999999997</v>
      </c>
    </row>
    <row r="602" spans="2:7">
      <c r="B602" s="439" t="s">
        <v>701</v>
      </c>
      <c r="C602" s="440">
        <f>SUMIFS(F607:F651,D607:D651,"2-koľaj",E607:E651,E589)</f>
        <v>0</v>
      </c>
      <c r="D602" s="441">
        <v>0</v>
      </c>
      <c r="E602" s="442">
        <v>0</v>
      </c>
      <c r="F602" s="441">
        <v>0</v>
      </c>
      <c r="G602" s="442">
        <v>0</v>
      </c>
    </row>
    <row r="603" spans="2:7">
      <c r="B603" s="439" t="s">
        <v>702</v>
      </c>
      <c r="C603" s="440">
        <f>SUMIFS(F607:F651,D607:D651,"1-koľaj",E607:E651,F589)</f>
        <v>0</v>
      </c>
      <c r="D603" s="441">
        <v>0</v>
      </c>
      <c r="E603" s="442">
        <v>0</v>
      </c>
      <c r="F603" s="441">
        <v>0</v>
      </c>
      <c r="G603" s="442">
        <v>0</v>
      </c>
    </row>
    <row r="604" spans="2:7" ht="15.75" thickBot="1">
      <c r="B604" s="443" t="s">
        <v>703</v>
      </c>
      <c r="C604" s="444">
        <f>SUMIFS(F607:F651,D607:D651,"2-koľaj",E607:E651,F589)</f>
        <v>0</v>
      </c>
      <c r="D604" s="445">
        <v>0</v>
      </c>
      <c r="E604" s="446">
        <v>0</v>
      </c>
      <c r="F604" s="445">
        <v>0</v>
      </c>
      <c r="G604" s="446">
        <v>0</v>
      </c>
    </row>
    <row r="605" spans="2:7">
      <c r="C605" s="447"/>
    </row>
    <row r="606" spans="2:7" ht="30">
      <c r="D606" s="413" t="s">
        <v>674</v>
      </c>
      <c r="E606" s="414" t="s">
        <v>704</v>
      </c>
      <c r="F606" s="414" t="s">
        <v>705</v>
      </c>
    </row>
    <row r="607" spans="2:7">
      <c r="B607" s="330" t="str">
        <f t="shared" ref="B607:C622" si="114">B474</f>
        <v>Prešov</v>
      </c>
      <c r="C607" s="330" t="str">
        <f t="shared" si="114"/>
        <v>Stanica</v>
      </c>
      <c r="D607" s="387">
        <v>0</v>
      </c>
      <c r="E607" s="387">
        <v>0</v>
      </c>
      <c r="F607" s="387">
        <v>0</v>
      </c>
    </row>
    <row r="608" spans="2:7">
      <c r="B608" s="330" t="str">
        <f t="shared" si="114"/>
        <v xml:space="preserve">Prešov/mimo/ - Šarišské Lúky/mimo/ </v>
      </c>
      <c r="C608" s="330" t="str">
        <f t="shared" si="114"/>
        <v>Medzistaničný úsek</v>
      </c>
      <c r="D608" s="387" t="s">
        <v>341</v>
      </c>
      <c r="E608" s="387" t="s">
        <v>694</v>
      </c>
      <c r="F608" s="387">
        <v>2.1380000000000052</v>
      </c>
    </row>
    <row r="609" spans="2:6">
      <c r="B609" s="330" t="str">
        <f t="shared" si="114"/>
        <v>Šarišské Lúky</v>
      </c>
      <c r="C609" s="330" t="str">
        <f t="shared" si="114"/>
        <v>Stanica</v>
      </c>
      <c r="D609" s="387">
        <v>0</v>
      </c>
      <c r="E609" s="387">
        <v>0</v>
      </c>
      <c r="F609" s="387">
        <v>0</v>
      </c>
    </row>
    <row r="610" spans="2:6">
      <c r="B610" s="330" t="str">
        <f t="shared" si="114"/>
        <v xml:space="preserve">Šarišské Lúky/mimo/  - Kapušany pri Prešove/mimo/ </v>
      </c>
      <c r="C610" s="330" t="str">
        <f t="shared" si="114"/>
        <v>Medzistaničný úsek</v>
      </c>
      <c r="D610" s="387" t="s">
        <v>341</v>
      </c>
      <c r="E610" s="387" t="s">
        <v>338</v>
      </c>
      <c r="F610" s="387">
        <v>4.2980000000000018</v>
      </c>
    </row>
    <row r="611" spans="2:6">
      <c r="B611" s="330" t="str">
        <f t="shared" si="114"/>
        <v>Kapušany pri Prešove</v>
      </c>
      <c r="C611" s="330" t="str">
        <f t="shared" si="114"/>
        <v>Stanica</v>
      </c>
      <c r="D611" s="387">
        <v>0</v>
      </c>
      <c r="E611" s="387">
        <v>0</v>
      </c>
      <c r="F611" s="387">
        <v>0</v>
      </c>
    </row>
    <row r="612" spans="2:6">
      <c r="B612" s="330" t="str">
        <f t="shared" si="114"/>
        <v>Kapušany pri Prešove/mimo/  - Lada</v>
      </c>
      <c r="C612" s="330" t="str">
        <f t="shared" si="114"/>
        <v>Medzistaničný úsek</v>
      </c>
      <c r="D612" s="387" t="s">
        <v>341</v>
      </c>
      <c r="E612" s="387" t="s">
        <v>338</v>
      </c>
      <c r="F612" s="387">
        <v>2.195999999999998</v>
      </c>
    </row>
    <row r="613" spans="2:6">
      <c r="B613" s="330" t="str">
        <f t="shared" si="114"/>
        <v>Lada</v>
      </c>
      <c r="C613" s="330" t="str">
        <f t="shared" si="114"/>
        <v>Stanica</v>
      </c>
      <c r="D613" s="387">
        <v>0</v>
      </c>
      <c r="E613" s="387">
        <v>0</v>
      </c>
      <c r="F613" s="387">
        <v>0</v>
      </c>
    </row>
    <row r="614" spans="2:6">
      <c r="B614" s="330" t="str">
        <f t="shared" si="114"/>
        <v xml:space="preserve">Lada  - Lipníky/mimo/ </v>
      </c>
      <c r="C614" s="330" t="str">
        <f t="shared" si="114"/>
        <v>Medzistaničný úsek</v>
      </c>
      <c r="D614" s="387" t="s">
        <v>341</v>
      </c>
      <c r="E614" s="387" t="s">
        <v>338</v>
      </c>
      <c r="F614" s="387">
        <v>3.5090000000000003</v>
      </c>
    </row>
    <row r="615" spans="2:6">
      <c r="B615" s="330" t="str">
        <f t="shared" si="114"/>
        <v>Lipníky</v>
      </c>
      <c r="C615" s="330" t="str">
        <f t="shared" si="114"/>
        <v>Stanica</v>
      </c>
      <c r="D615" s="387">
        <v>0</v>
      </c>
      <c r="E615" s="387">
        <v>0</v>
      </c>
      <c r="F615" s="387">
        <v>0</v>
      </c>
    </row>
    <row r="616" spans="2:6">
      <c r="B616" s="330" t="str">
        <f t="shared" si="114"/>
        <v>Lipníky/mimo/  - Pavlovce</v>
      </c>
      <c r="C616" s="330" t="str">
        <f t="shared" si="114"/>
        <v>Medzistaničný úsek</v>
      </c>
      <c r="D616" s="387" t="s">
        <v>341</v>
      </c>
      <c r="E616" s="387" t="s">
        <v>338</v>
      </c>
      <c r="F616" s="387">
        <v>3.9200000000000017</v>
      </c>
    </row>
    <row r="617" spans="2:6">
      <c r="B617" s="330" t="str">
        <f t="shared" si="114"/>
        <v>Pavlovce</v>
      </c>
      <c r="C617" s="330" t="str">
        <f t="shared" si="114"/>
        <v>Stanica</v>
      </c>
      <c r="D617" s="387">
        <v>0</v>
      </c>
      <c r="E617" s="387">
        <v>0</v>
      </c>
      <c r="F617" s="387">
        <v>0</v>
      </c>
    </row>
    <row r="618" spans="2:6">
      <c r="B618" s="330" t="str">
        <f t="shared" si="114"/>
        <v>Pavlovce  - Hanušovce nad Topľou mesto</v>
      </c>
      <c r="C618" s="330" t="str">
        <f t="shared" si="114"/>
        <v>Medzistaničný úsek</v>
      </c>
      <c r="D618" s="387" t="s">
        <v>341</v>
      </c>
      <c r="E618" s="387" t="s">
        <v>338</v>
      </c>
      <c r="F618" s="387">
        <v>3.6099999999999994</v>
      </c>
    </row>
    <row r="619" spans="2:6">
      <c r="B619" s="330" t="str">
        <f t="shared" si="114"/>
        <v>Hanušovce nad Topľou mesto</v>
      </c>
      <c r="C619" s="330" t="str">
        <f t="shared" si="114"/>
        <v>Stanica</v>
      </c>
      <c r="D619" s="387">
        <v>0</v>
      </c>
      <c r="E619" s="387">
        <v>0</v>
      </c>
      <c r="F619" s="387">
        <v>0</v>
      </c>
    </row>
    <row r="620" spans="2:6">
      <c r="B620" s="330" t="str">
        <f t="shared" si="114"/>
        <v xml:space="preserve">Hanušovce nad Topľou mesto  - Hanušovce nad Topľou/mimo/ </v>
      </c>
      <c r="C620" s="330" t="str">
        <f t="shared" si="114"/>
        <v>Medzistaničný úsek</v>
      </c>
      <c r="D620" s="387" t="s">
        <v>341</v>
      </c>
      <c r="E620" s="387" t="s">
        <v>338</v>
      </c>
      <c r="F620" s="387">
        <v>1.642000000000003</v>
      </c>
    </row>
    <row r="621" spans="2:6">
      <c r="B621" s="330" t="str">
        <f t="shared" si="114"/>
        <v>Hanušovce nad Topľou</v>
      </c>
      <c r="C621" s="330" t="str">
        <f t="shared" si="114"/>
        <v>Stanica</v>
      </c>
      <c r="D621" s="387">
        <v>0</v>
      </c>
      <c r="E621" s="387">
        <v>0</v>
      </c>
      <c r="F621" s="387">
        <v>0</v>
      </c>
    </row>
    <row r="622" spans="2:6">
      <c r="B622" s="330" t="str">
        <f t="shared" si="114"/>
        <v>Hanušovce nad Topľou/mimo/  - Bystré</v>
      </c>
      <c r="C622" s="330" t="str">
        <f t="shared" si="114"/>
        <v>Medzistaničný úsek</v>
      </c>
      <c r="D622" s="387" t="s">
        <v>341</v>
      </c>
      <c r="E622" s="387" t="s">
        <v>338</v>
      </c>
      <c r="F622" s="387">
        <v>1.7749999999999986</v>
      </c>
    </row>
    <row r="623" spans="2:6">
      <c r="B623" s="330" t="str">
        <f t="shared" ref="B623:C638" si="115">B490</f>
        <v>Bystré</v>
      </c>
      <c r="C623" s="330" t="str">
        <f t="shared" si="115"/>
        <v>Stanica</v>
      </c>
      <c r="D623" s="387">
        <v>0</v>
      </c>
      <c r="E623" s="387">
        <v>0</v>
      </c>
      <c r="F623" s="387">
        <v>0</v>
      </c>
    </row>
    <row r="624" spans="2:6">
      <c r="B624" s="330" t="str">
        <f t="shared" si="115"/>
        <v xml:space="preserve">Bystré  - Čierne nad Topľou/mimo/ </v>
      </c>
      <c r="C624" s="330" t="str">
        <f t="shared" si="115"/>
        <v>Medzistaničný úsek</v>
      </c>
      <c r="D624" s="387" t="s">
        <v>341</v>
      </c>
      <c r="E624" s="387" t="s">
        <v>338</v>
      </c>
      <c r="F624" s="387">
        <v>2.5999999999999979</v>
      </c>
    </row>
    <row r="625" spans="2:6">
      <c r="B625" s="330" t="str">
        <f t="shared" si="115"/>
        <v>Čierne nad Topľou</v>
      </c>
      <c r="C625" s="330" t="str">
        <f t="shared" si="115"/>
        <v>Stanica</v>
      </c>
      <c r="D625" s="387">
        <v>0</v>
      </c>
      <c r="E625" s="387">
        <v>0</v>
      </c>
      <c r="F625" s="387">
        <v>0</v>
      </c>
    </row>
    <row r="626" spans="2:6">
      <c r="B626" s="330" t="str">
        <f t="shared" si="115"/>
        <v>Čierne nad Topľou/mimo/  - Hlinné</v>
      </c>
      <c r="C626" s="330" t="str">
        <f t="shared" si="115"/>
        <v>Medzistaničný úsek</v>
      </c>
      <c r="D626" s="387" t="s">
        <v>341</v>
      </c>
      <c r="E626" s="387" t="s">
        <v>338</v>
      </c>
      <c r="F626" s="387">
        <v>3.6030000000000015</v>
      </c>
    </row>
    <row r="627" spans="2:6">
      <c r="B627" s="330" t="str">
        <f t="shared" si="115"/>
        <v>Hlinné</v>
      </c>
      <c r="C627" s="330" t="str">
        <f t="shared" si="115"/>
        <v>Stanica</v>
      </c>
      <c r="D627" s="387">
        <v>0</v>
      </c>
      <c r="E627" s="387">
        <v>0</v>
      </c>
      <c r="F627" s="387">
        <v>0</v>
      </c>
    </row>
    <row r="628" spans="2:6">
      <c r="B628" s="330" t="str">
        <f t="shared" si="115"/>
        <v>Hlinné - Soľ</v>
      </c>
      <c r="C628" s="330" t="str">
        <f t="shared" si="115"/>
        <v>Medzistaničný úsek</v>
      </c>
      <c r="D628" s="387" t="s">
        <v>341</v>
      </c>
      <c r="E628" s="387" t="s">
        <v>338</v>
      </c>
      <c r="F628" s="387">
        <v>2.759999999999998</v>
      </c>
    </row>
    <row r="629" spans="2:6">
      <c r="B629" s="330" t="str">
        <f t="shared" si="115"/>
        <v>Soľ</v>
      </c>
      <c r="C629" s="330" t="str">
        <f t="shared" si="115"/>
        <v>Stanica</v>
      </c>
      <c r="D629" s="387">
        <v>0</v>
      </c>
      <c r="E629" s="387">
        <v>0</v>
      </c>
      <c r="F629" s="387">
        <v>0</v>
      </c>
    </row>
    <row r="630" spans="2:6">
      <c r="B630" s="330" t="str">
        <f t="shared" si="115"/>
        <v xml:space="preserve">Soľ  - Komárany </v>
      </c>
      <c r="C630" s="330" t="str">
        <f t="shared" si="115"/>
        <v>Medzistaničný úsek</v>
      </c>
      <c r="D630" s="387" t="s">
        <v>341</v>
      </c>
      <c r="E630" s="387" t="s">
        <v>338</v>
      </c>
      <c r="F630" s="387">
        <v>3.4750000000000014</v>
      </c>
    </row>
    <row r="631" spans="2:6">
      <c r="B631" s="330" t="str">
        <f t="shared" si="115"/>
        <v>Komárany</v>
      </c>
      <c r="C631" s="330" t="str">
        <f t="shared" si="115"/>
        <v>Stanica</v>
      </c>
      <c r="D631" s="387">
        <v>0</v>
      </c>
      <c r="E631" s="387">
        <v>0</v>
      </c>
      <c r="F631" s="387">
        <v>0</v>
      </c>
    </row>
    <row r="632" spans="2:6">
      <c r="B632" s="330" t="str">
        <f t="shared" si="115"/>
        <v xml:space="preserve">Komárany  - Vranov nad Topľou/mimo/ </v>
      </c>
      <c r="C632" s="330" t="str">
        <f t="shared" si="115"/>
        <v>Medzistaničný úsek</v>
      </c>
      <c r="D632" s="387" t="s">
        <v>341</v>
      </c>
      <c r="E632" s="387" t="s">
        <v>338</v>
      </c>
      <c r="F632" s="387">
        <v>3.6689999999999987</v>
      </c>
    </row>
    <row r="633" spans="2:6">
      <c r="B633" s="330" t="str">
        <f t="shared" si="115"/>
        <v>Vranov nad Topľou</v>
      </c>
      <c r="C633" s="330" t="str">
        <f t="shared" si="115"/>
        <v>Stanica</v>
      </c>
      <c r="D633" s="387">
        <v>0</v>
      </c>
      <c r="E633" s="387">
        <v>0</v>
      </c>
      <c r="F633" s="387">
        <v>0</v>
      </c>
    </row>
    <row r="634" spans="2:6">
      <c r="B634" s="330" t="str">
        <f t="shared" si="115"/>
        <v>Vranov nad Topľou/mimo/  - Vranovské Dlhé</v>
      </c>
      <c r="C634" s="330" t="str">
        <f t="shared" si="115"/>
        <v>Medzistaničný úsek</v>
      </c>
      <c r="D634" s="387" t="s">
        <v>341</v>
      </c>
      <c r="E634" s="387" t="s">
        <v>338</v>
      </c>
      <c r="F634" s="387">
        <v>2.2939999999999987</v>
      </c>
    </row>
    <row r="635" spans="2:6">
      <c r="B635" s="330" t="str">
        <f t="shared" si="115"/>
        <v>Vranovské Dlhé</v>
      </c>
      <c r="C635" s="330" t="str">
        <f t="shared" si="115"/>
        <v>Stanica</v>
      </c>
      <c r="D635" s="387">
        <v>0</v>
      </c>
      <c r="E635" s="387">
        <v>0</v>
      </c>
      <c r="F635" s="387">
        <v>0</v>
      </c>
    </row>
    <row r="636" spans="2:6">
      <c r="B636" s="330" t="str">
        <f t="shared" si="115"/>
        <v>Vranovské Dlhé  - Hencovce</v>
      </c>
      <c r="C636" s="330" t="str">
        <f t="shared" si="115"/>
        <v>Medzistaničný úsek</v>
      </c>
      <c r="D636" s="387" t="s">
        <v>341</v>
      </c>
      <c r="E636" s="387" t="s">
        <v>338</v>
      </c>
      <c r="F636" s="387">
        <v>1.9100000000000001</v>
      </c>
    </row>
    <row r="637" spans="2:6">
      <c r="B637" s="330" t="str">
        <f t="shared" si="115"/>
        <v>Hencovce</v>
      </c>
      <c r="C637" s="330" t="str">
        <f t="shared" si="115"/>
        <v>Stanica</v>
      </c>
      <c r="D637" s="387">
        <v>0</v>
      </c>
      <c r="E637" s="387">
        <v>0</v>
      </c>
      <c r="F637" s="387">
        <v>0</v>
      </c>
    </row>
    <row r="638" spans="2:6">
      <c r="B638" s="330" t="str">
        <f t="shared" si="115"/>
        <v xml:space="preserve">Hencovce  - Nižný Hrabovec/mimo/ </v>
      </c>
      <c r="C638" s="330" t="str">
        <f t="shared" si="115"/>
        <v>Medzistaničný úsek</v>
      </c>
      <c r="D638" s="387" t="s">
        <v>341</v>
      </c>
      <c r="E638" s="387" t="s">
        <v>338</v>
      </c>
      <c r="F638" s="387">
        <v>2.1619999999999999</v>
      </c>
    </row>
    <row r="639" spans="2:6">
      <c r="B639" s="330" t="str">
        <f t="shared" ref="B639:C651" si="116">B506</f>
        <v>Nižný Hrabovec</v>
      </c>
      <c r="C639" s="330" t="str">
        <f t="shared" si="116"/>
        <v>Stanica</v>
      </c>
      <c r="D639" s="387">
        <v>0</v>
      </c>
      <c r="E639" s="387">
        <v>0</v>
      </c>
      <c r="F639" s="387">
        <v>0</v>
      </c>
    </row>
    <row r="640" spans="2:6">
      <c r="B640" s="330" t="str">
        <f t="shared" si="116"/>
        <v xml:space="preserve">Nižný Hrabovec/mimo/  - Strážske/mimo/ </v>
      </c>
      <c r="C640" s="330" t="str">
        <f t="shared" si="116"/>
        <v>Medzistaničný úsek</v>
      </c>
      <c r="D640" s="387" t="s">
        <v>341</v>
      </c>
      <c r="E640" s="387" t="s">
        <v>338</v>
      </c>
      <c r="F640" s="387">
        <v>6.6140000000000008</v>
      </c>
    </row>
    <row r="641" spans="2:6">
      <c r="B641" s="330" t="str">
        <f t="shared" si="116"/>
        <v>Strážske</v>
      </c>
      <c r="C641" s="330" t="str">
        <f t="shared" si="116"/>
        <v>Stanica</v>
      </c>
      <c r="D641" s="387">
        <v>0</v>
      </c>
      <c r="E641" s="387">
        <v>0</v>
      </c>
      <c r="F641" s="387">
        <v>0</v>
      </c>
    </row>
    <row r="642" spans="2:6">
      <c r="B642" s="330" t="str">
        <f t="shared" si="116"/>
        <v>Kapušany pri Prešove/mimo/ - Fulianka/mimo/</v>
      </c>
      <c r="C642" s="330" t="str">
        <f t="shared" si="116"/>
        <v>Medzistaničný úsek</v>
      </c>
      <c r="D642" s="384" t="s">
        <v>341</v>
      </c>
      <c r="E642" s="384" t="s">
        <v>338</v>
      </c>
      <c r="F642" s="384">
        <v>3.4369999999999994</v>
      </c>
    </row>
    <row r="643" spans="2:6">
      <c r="B643" s="330" t="str">
        <f t="shared" si="116"/>
        <v>Fulianka</v>
      </c>
      <c r="C643" s="330" t="str">
        <f t="shared" si="116"/>
        <v>Stanica</v>
      </c>
      <c r="D643" s="384">
        <v>0</v>
      </c>
      <c r="E643" s="384">
        <v>0</v>
      </c>
      <c r="F643" s="384">
        <v>0</v>
      </c>
    </row>
    <row r="644" spans="2:6">
      <c r="B644" s="330" t="str">
        <f t="shared" si="116"/>
        <v>Fulianka/mimo/ - Tulčík/mimo/</v>
      </c>
      <c r="C644" s="330" t="str">
        <f t="shared" si="116"/>
        <v>Medzistaničný úsek</v>
      </c>
      <c r="D644" s="384" t="s">
        <v>341</v>
      </c>
      <c r="E644" s="384" t="s">
        <v>338</v>
      </c>
      <c r="F644" s="384">
        <v>3.1420000000000012</v>
      </c>
    </row>
    <row r="645" spans="2:6">
      <c r="B645" s="330" t="str">
        <f t="shared" si="116"/>
        <v>Tulčík</v>
      </c>
      <c r="C645" s="330" t="str">
        <f t="shared" si="116"/>
        <v>Stanica</v>
      </c>
      <c r="D645" s="384">
        <v>0</v>
      </c>
      <c r="E645" s="384">
        <v>0</v>
      </c>
      <c r="F645" s="384">
        <v>0</v>
      </c>
    </row>
    <row r="646" spans="2:6">
      <c r="B646" s="330" t="str">
        <f t="shared" si="116"/>
        <v>Tulčík/mimo/ - Demjata/mimo/</v>
      </c>
      <c r="C646" s="330" t="str">
        <f t="shared" si="116"/>
        <v>Medzistaničný úsek</v>
      </c>
      <c r="D646" s="384" t="s">
        <v>341</v>
      </c>
      <c r="E646" s="384" t="s">
        <v>338</v>
      </c>
      <c r="F646" s="384">
        <v>1.4499999999999993</v>
      </c>
    </row>
    <row r="647" spans="2:6">
      <c r="B647" s="330" t="str">
        <f t="shared" si="116"/>
        <v>Demjata</v>
      </c>
      <c r="C647" s="330" t="str">
        <f t="shared" si="116"/>
        <v>Stanica</v>
      </c>
      <c r="D647" s="384">
        <v>0</v>
      </c>
      <c r="E647" s="384">
        <v>0</v>
      </c>
      <c r="F647" s="384">
        <v>0</v>
      </c>
    </row>
    <row r="648" spans="2:6">
      <c r="B648" s="330" t="str">
        <f t="shared" si="116"/>
        <v>Demjata/mimo/ - Demjata obec/mimo/</v>
      </c>
      <c r="C648" s="330" t="str">
        <f t="shared" si="116"/>
        <v>Medzistaničný úsek</v>
      </c>
      <c r="D648" s="384" t="s">
        <v>341</v>
      </c>
      <c r="E648" s="384" t="s">
        <v>338</v>
      </c>
      <c r="F648" s="384">
        <v>0.85899999999999821</v>
      </c>
    </row>
    <row r="649" spans="2:6">
      <c r="B649" s="330" t="str">
        <f t="shared" si="116"/>
        <v>Demjata obec</v>
      </c>
      <c r="C649" s="330" t="str">
        <f t="shared" si="116"/>
        <v>Stanica</v>
      </c>
      <c r="D649" s="384">
        <v>0</v>
      </c>
      <c r="E649" s="384">
        <v>0</v>
      </c>
      <c r="F649" s="384">
        <v>0</v>
      </c>
    </row>
    <row r="650" spans="2:6">
      <c r="B650" s="330" t="str">
        <f t="shared" si="116"/>
        <v>Demjata obec/mimo/ - Raslavice/mimo/</v>
      </c>
      <c r="C650" s="330" t="str">
        <f t="shared" si="116"/>
        <v>Medzistaničný úsek</v>
      </c>
      <c r="D650" s="384" t="s">
        <v>341</v>
      </c>
      <c r="E650" s="384" t="s">
        <v>338</v>
      </c>
      <c r="F650" s="384">
        <v>4.9460000000000015</v>
      </c>
    </row>
    <row r="651" spans="2:6">
      <c r="B651" s="330" t="str">
        <f t="shared" si="116"/>
        <v>Raslavice</v>
      </c>
      <c r="C651" s="330" t="str">
        <f t="shared" si="116"/>
        <v>Stanica</v>
      </c>
      <c r="D651" s="384">
        <v>0</v>
      </c>
      <c r="E651" s="384">
        <v>0</v>
      </c>
      <c r="F651" s="384">
        <v>0</v>
      </c>
    </row>
    <row r="655" spans="2:6" ht="22.5">
      <c r="B655" s="415" t="s">
        <v>358</v>
      </c>
      <c r="C655" s="904" t="s">
        <v>344</v>
      </c>
      <c r="D655" s="904"/>
      <c r="E655" s="904"/>
    </row>
    <row r="656" spans="2:6">
      <c r="B656" s="448" t="s">
        <v>316</v>
      </c>
      <c r="C656" s="432" t="s">
        <v>345</v>
      </c>
      <c r="D656" s="433" t="s">
        <v>356</v>
      </c>
      <c r="E656" s="433" t="s">
        <v>357</v>
      </c>
    </row>
    <row r="657" spans="2:7">
      <c r="B657" s="416" t="s">
        <v>341</v>
      </c>
      <c r="C657" s="449">
        <f>Parametre!C84</f>
        <v>2203.0830949439169</v>
      </c>
      <c r="D657" s="449">
        <f>Parametre!D84</f>
        <v>138.26335586977811</v>
      </c>
      <c r="E657" s="449">
        <f>Parametre!E84</f>
        <v>86.088504598163723</v>
      </c>
    </row>
    <row r="658" spans="2:7">
      <c r="B658" s="416" t="s">
        <v>342</v>
      </c>
      <c r="C658" s="449">
        <f>Parametre!C85</f>
        <v>4406.1661898878338</v>
      </c>
      <c r="D658" s="449">
        <f>Parametre!D85</f>
        <v>276.52671173955622</v>
      </c>
      <c r="E658" s="449">
        <f>Parametre!E85</f>
        <v>86.088504598163723</v>
      </c>
    </row>
    <row r="659" spans="2:7">
      <c r="B659" s="399" t="s">
        <v>706</v>
      </c>
      <c r="C659" s="331"/>
      <c r="D659" s="331"/>
      <c r="E659" s="331"/>
    </row>
    <row r="660" spans="2:7" ht="15.75" thickBot="1"/>
    <row r="661" spans="2:7" ht="38.25" customHeight="1">
      <c r="C661" s="907" t="s">
        <v>599</v>
      </c>
      <c r="D661" s="909" t="s">
        <v>840</v>
      </c>
      <c r="E661" s="910"/>
      <c r="F661" s="909" t="s">
        <v>841</v>
      </c>
      <c r="G661" s="910"/>
    </row>
    <row r="662" spans="2:7" ht="15.75" thickBot="1">
      <c r="C662" s="908"/>
      <c r="D662" s="450" t="s">
        <v>671</v>
      </c>
      <c r="E662" s="401" t="s">
        <v>672</v>
      </c>
      <c r="F662" s="450" t="s">
        <v>671</v>
      </c>
      <c r="G662" s="401" t="s">
        <v>672</v>
      </c>
    </row>
    <row r="663" spans="2:7">
      <c r="B663" s="451" t="s">
        <v>707</v>
      </c>
      <c r="C663" s="452">
        <v>0</v>
      </c>
      <c r="D663" s="453">
        <v>0</v>
      </c>
      <c r="E663" s="454">
        <v>0</v>
      </c>
      <c r="F663" s="453">
        <v>0</v>
      </c>
      <c r="G663" s="454">
        <v>2</v>
      </c>
    </row>
    <row r="664" spans="2:7">
      <c r="B664" s="455" t="s">
        <v>708</v>
      </c>
      <c r="C664" s="456">
        <f>SUMIFS(F671:F715,D671:D715,"2-koľaj",E671:E715,C656)</f>
        <v>0</v>
      </c>
      <c r="D664" s="457">
        <v>0</v>
      </c>
      <c r="E664" s="442">
        <v>0</v>
      </c>
      <c r="F664" s="457">
        <v>0</v>
      </c>
      <c r="G664" s="442">
        <v>0</v>
      </c>
    </row>
    <row r="665" spans="2:7">
      <c r="B665" s="455" t="s">
        <v>709</v>
      </c>
      <c r="C665" s="456">
        <f>SUMIFS(F671:F715,D671:D715,"1-koľaj",E671:E715,D656)</f>
        <v>0</v>
      </c>
      <c r="D665" s="457">
        <v>0</v>
      </c>
      <c r="E665" s="442">
        <v>0</v>
      </c>
      <c r="F665" s="457">
        <v>0</v>
      </c>
      <c r="G665" s="442">
        <v>0</v>
      </c>
    </row>
    <row r="666" spans="2:7">
      <c r="B666" s="455" t="s">
        <v>710</v>
      </c>
      <c r="C666" s="456">
        <f>SUMIFS(F671:F715,D671:D715,"2-koľaj",E671:E715,D656)</f>
        <v>0</v>
      </c>
      <c r="D666" s="457">
        <v>0</v>
      </c>
      <c r="E666" s="442">
        <v>0</v>
      </c>
      <c r="F666" s="457">
        <v>0</v>
      </c>
      <c r="G666" s="442">
        <v>0</v>
      </c>
    </row>
    <row r="667" spans="2:7">
      <c r="B667" s="455" t="s">
        <v>711</v>
      </c>
      <c r="C667" s="456">
        <f>SUMIFS(F671:F715,D671:D715,"1-koľaj",E671:E715,E656)</f>
        <v>0</v>
      </c>
      <c r="D667" s="457">
        <v>0</v>
      </c>
      <c r="E667" s="442">
        <v>0</v>
      </c>
      <c r="F667" s="457">
        <v>0</v>
      </c>
      <c r="G667" s="442">
        <v>60.67</v>
      </c>
    </row>
    <row r="668" spans="2:7" ht="15.75" thickBot="1">
      <c r="B668" s="458" t="s">
        <v>712</v>
      </c>
      <c r="C668" s="459">
        <f>SUMIFS(F671:F715,D671:D715,"2-koľaj",E671:E715,E656)</f>
        <v>0</v>
      </c>
      <c r="D668" s="460">
        <v>0</v>
      </c>
      <c r="E668" s="446">
        <v>0</v>
      </c>
      <c r="F668" s="460">
        <v>0</v>
      </c>
      <c r="G668" s="446">
        <v>0</v>
      </c>
    </row>
    <row r="670" spans="2:7" ht="63" customHeight="1">
      <c r="D670" s="413" t="str">
        <f t="shared" ref="D670:D705" si="117">D606</f>
        <v>Počet koľají</v>
      </c>
      <c r="E670" s="413" t="s">
        <v>713</v>
      </c>
      <c r="F670" s="413" t="str">
        <f>F606</f>
        <v>Dĺžka medzistaničného úseku 
v km</v>
      </c>
    </row>
    <row r="671" spans="2:7">
      <c r="B671" s="330" t="str">
        <f t="shared" ref="B671:C686" si="118">B607</f>
        <v>Prešov</v>
      </c>
      <c r="C671" s="330" t="str">
        <f t="shared" si="118"/>
        <v>Stanica</v>
      </c>
      <c r="D671" s="387">
        <f t="shared" si="117"/>
        <v>0</v>
      </c>
      <c r="E671" s="387">
        <v>0</v>
      </c>
      <c r="F671" s="387">
        <v>0</v>
      </c>
    </row>
    <row r="672" spans="2:7">
      <c r="B672" s="330" t="str">
        <f t="shared" si="118"/>
        <v xml:space="preserve">Prešov/mimo/ - Šarišské Lúky/mimo/ </v>
      </c>
      <c r="C672" s="330" t="str">
        <f t="shared" si="118"/>
        <v>Medzistaničný úsek</v>
      </c>
      <c r="D672" s="387" t="str">
        <f t="shared" si="117"/>
        <v>1-koľaj</v>
      </c>
      <c r="E672" s="384">
        <v>0</v>
      </c>
      <c r="F672" s="384">
        <v>0</v>
      </c>
    </row>
    <row r="673" spans="2:6">
      <c r="B673" s="330" t="str">
        <f t="shared" si="118"/>
        <v>Šarišské Lúky</v>
      </c>
      <c r="C673" s="330" t="str">
        <f t="shared" si="118"/>
        <v>Stanica</v>
      </c>
      <c r="D673" s="387">
        <f t="shared" si="117"/>
        <v>0</v>
      </c>
      <c r="E673" s="384">
        <v>0</v>
      </c>
      <c r="F673" s="384">
        <v>0</v>
      </c>
    </row>
    <row r="674" spans="2:6">
      <c r="B674" s="330" t="str">
        <f t="shared" si="118"/>
        <v xml:space="preserve">Šarišské Lúky/mimo/  - Kapušany pri Prešove/mimo/ </v>
      </c>
      <c r="C674" s="330" t="str">
        <f t="shared" si="118"/>
        <v>Medzistaničný úsek</v>
      </c>
      <c r="D674" s="387" t="str">
        <f t="shared" si="117"/>
        <v>1-koľaj</v>
      </c>
      <c r="E674" s="384">
        <v>0</v>
      </c>
      <c r="F674" s="384">
        <v>0</v>
      </c>
    </row>
    <row r="675" spans="2:6">
      <c r="B675" s="330" t="str">
        <f t="shared" si="118"/>
        <v>Kapušany pri Prešove</v>
      </c>
      <c r="C675" s="330" t="str">
        <f t="shared" si="118"/>
        <v>Stanica</v>
      </c>
      <c r="D675" s="387">
        <f t="shared" si="117"/>
        <v>0</v>
      </c>
      <c r="E675" s="384">
        <v>0</v>
      </c>
      <c r="F675" s="384">
        <v>0</v>
      </c>
    </row>
    <row r="676" spans="2:6">
      <c r="B676" s="330" t="str">
        <f t="shared" si="118"/>
        <v>Kapušany pri Prešove/mimo/  - Lada</v>
      </c>
      <c r="C676" s="330" t="str">
        <f t="shared" si="118"/>
        <v>Medzistaničný úsek</v>
      </c>
      <c r="D676" s="387" t="str">
        <f t="shared" si="117"/>
        <v>1-koľaj</v>
      </c>
      <c r="E676" s="384">
        <v>0</v>
      </c>
      <c r="F676" s="384">
        <v>0</v>
      </c>
    </row>
    <row r="677" spans="2:6">
      <c r="B677" s="330" t="str">
        <f t="shared" si="118"/>
        <v>Lada</v>
      </c>
      <c r="C677" s="330" t="str">
        <f t="shared" si="118"/>
        <v>Stanica</v>
      </c>
      <c r="D677" s="387">
        <f t="shared" si="117"/>
        <v>0</v>
      </c>
      <c r="E677" s="384">
        <v>0</v>
      </c>
      <c r="F677" s="384">
        <v>0</v>
      </c>
    </row>
    <row r="678" spans="2:6">
      <c r="B678" s="330" t="str">
        <f t="shared" si="118"/>
        <v xml:space="preserve">Lada  - Lipníky/mimo/ </v>
      </c>
      <c r="C678" s="330" t="str">
        <f t="shared" si="118"/>
        <v>Medzistaničný úsek</v>
      </c>
      <c r="D678" s="387" t="str">
        <f t="shared" si="117"/>
        <v>1-koľaj</v>
      </c>
      <c r="E678" s="384">
        <v>0</v>
      </c>
      <c r="F678" s="384">
        <v>0</v>
      </c>
    </row>
    <row r="679" spans="2:6">
      <c r="B679" s="330" t="str">
        <f t="shared" si="118"/>
        <v>Lipníky</v>
      </c>
      <c r="C679" s="330" t="str">
        <f t="shared" si="118"/>
        <v>Stanica</v>
      </c>
      <c r="D679" s="387">
        <f t="shared" si="117"/>
        <v>0</v>
      </c>
      <c r="E679" s="384">
        <v>0</v>
      </c>
      <c r="F679" s="384">
        <v>0</v>
      </c>
    </row>
    <row r="680" spans="2:6">
      <c r="B680" s="330" t="str">
        <f t="shared" si="118"/>
        <v>Lipníky/mimo/  - Pavlovce</v>
      </c>
      <c r="C680" s="330" t="str">
        <f t="shared" si="118"/>
        <v>Medzistaničný úsek</v>
      </c>
      <c r="D680" s="387" t="str">
        <f t="shared" si="117"/>
        <v>1-koľaj</v>
      </c>
      <c r="E680" s="384">
        <v>0</v>
      </c>
      <c r="F680" s="384">
        <v>0</v>
      </c>
    </row>
    <row r="681" spans="2:6">
      <c r="B681" s="330" t="str">
        <f t="shared" si="118"/>
        <v>Pavlovce</v>
      </c>
      <c r="C681" s="330" t="str">
        <f t="shared" si="118"/>
        <v>Stanica</v>
      </c>
      <c r="D681" s="387">
        <f t="shared" si="117"/>
        <v>0</v>
      </c>
      <c r="E681" s="384">
        <v>0</v>
      </c>
      <c r="F681" s="384">
        <v>0</v>
      </c>
    </row>
    <row r="682" spans="2:6">
      <c r="B682" s="330" t="str">
        <f t="shared" si="118"/>
        <v>Pavlovce  - Hanušovce nad Topľou mesto</v>
      </c>
      <c r="C682" s="330" t="str">
        <f t="shared" si="118"/>
        <v>Medzistaničný úsek</v>
      </c>
      <c r="D682" s="387" t="str">
        <f t="shared" si="117"/>
        <v>1-koľaj</v>
      </c>
      <c r="E682" s="384">
        <v>0</v>
      </c>
      <c r="F682" s="384">
        <v>0</v>
      </c>
    </row>
    <row r="683" spans="2:6">
      <c r="B683" s="330" t="str">
        <f t="shared" si="118"/>
        <v>Hanušovce nad Topľou mesto</v>
      </c>
      <c r="C683" s="330" t="str">
        <f t="shared" si="118"/>
        <v>Stanica</v>
      </c>
      <c r="D683" s="387">
        <f t="shared" si="117"/>
        <v>0</v>
      </c>
      <c r="E683" s="384">
        <v>0</v>
      </c>
      <c r="F683" s="384">
        <v>0</v>
      </c>
    </row>
    <row r="684" spans="2:6">
      <c r="B684" s="330" t="str">
        <f t="shared" si="118"/>
        <v xml:space="preserve">Hanušovce nad Topľou mesto  - Hanušovce nad Topľou/mimo/ </v>
      </c>
      <c r="C684" s="330" t="str">
        <f t="shared" si="118"/>
        <v>Medzistaničný úsek</v>
      </c>
      <c r="D684" s="387" t="str">
        <f t="shared" si="117"/>
        <v>1-koľaj</v>
      </c>
      <c r="E684" s="384">
        <v>0</v>
      </c>
      <c r="F684" s="384">
        <v>0</v>
      </c>
    </row>
    <row r="685" spans="2:6">
      <c r="B685" s="330" t="str">
        <f t="shared" si="118"/>
        <v>Hanušovce nad Topľou</v>
      </c>
      <c r="C685" s="330" t="str">
        <f t="shared" si="118"/>
        <v>Stanica</v>
      </c>
      <c r="D685" s="387">
        <f t="shared" si="117"/>
        <v>0</v>
      </c>
      <c r="E685" s="384">
        <v>0</v>
      </c>
      <c r="F685" s="384">
        <v>0</v>
      </c>
    </row>
    <row r="686" spans="2:6">
      <c r="B686" s="330" t="str">
        <f t="shared" si="118"/>
        <v>Hanušovce nad Topľou/mimo/  - Bystré</v>
      </c>
      <c r="C686" s="330" t="str">
        <f t="shared" si="118"/>
        <v>Medzistaničný úsek</v>
      </c>
      <c r="D686" s="387" t="str">
        <f t="shared" si="117"/>
        <v>1-koľaj</v>
      </c>
      <c r="E686" s="384">
        <v>0</v>
      </c>
      <c r="F686" s="384">
        <v>0</v>
      </c>
    </row>
    <row r="687" spans="2:6">
      <c r="B687" s="330" t="str">
        <f t="shared" ref="B687:C702" si="119">B623</f>
        <v>Bystré</v>
      </c>
      <c r="C687" s="330" t="str">
        <f t="shared" si="119"/>
        <v>Stanica</v>
      </c>
      <c r="D687" s="387">
        <f t="shared" si="117"/>
        <v>0</v>
      </c>
      <c r="E687" s="384">
        <v>0</v>
      </c>
      <c r="F687" s="384">
        <v>0</v>
      </c>
    </row>
    <row r="688" spans="2:6">
      <c r="B688" s="330" t="str">
        <f t="shared" si="119"/>
        <v xml:space="preserve">Bystré  - Čierne nad Topľou/mimo/ </v>
      </c>
      <c r="C688" s="330" t="str">
        <f t="shared" si="119"/>
        <v>Medzistaničný úsek</v>
      </c>
      <c r="D688" s="387" t="str">
        <f t="shared" si="117"/>
        <v>1-koľaj</v>
      </c>
      <c r="E688" s="384">
        <v>0</v>
      </c>
      <c r="F688" s="384">
        <v>0</v>
      </c>
    </row>
    <row r="689" spans="2:6">
      <c r="B689" s="330" t="str">
        <f t="shared" si="119"/>
        <v>Čierne nad Topľou</v>
      </c>
      <c r="C689" s="330" t="str">
        <f t="shared" si="119"/>
        <v>Stanica</v>
      </c>
      <c r="D689" s="387">
        <f t="shared" si="117"/>
        <v>0</v>
      </c>
      <c r="E689" s="384">
        <v>0</v>
      </c>
      <c r="F689" s="384">
        <v>0</v>
      </c>
    </row>
    <row r="690" spans="2:6">
      <c r="B690" s="330" t="str">
        <f t="shared" si="119"/>
        <v>Čierne nad Topľou/mimo/  - Hlinné</v>
      </c>
      <c r="C690" s="330" t="str">
        <f t="shared" si="119"/>
        <v>Medzistaničný úsek</v>
      </c>
      <c r="D690" s="387" t="str">
        <f t="shared" si="117"/>
        <v>1-koľaj</v>
      </c>
      <c r="E690" s="384">
        <v>0</v>
      </c>
      <c r="F690" s="384">
        <v>0</v>
      </c>
    </row>
    <row r="691" spans="2:6">
      <c r="B691" s="330" t="str">
        <f t="shared" si="119"/>
        <v>Hlinné</v>
      </c>
      <c r="C691" s="330" t="str">
        <f t="shared" si="119"/>
        <v>Stanica</v>
      </c>
      <c r="D691" s="387">
        <f t="shared" si="117"/>
        <v>0</v>
      </c>
      <c r="E691" s="384">
        <v>0</v>
      </c>
      <c r="F691" s="384">
        <v>0</v>
      </c>
    </row>
    <row r="692" spans="2:6">
      <c r="B692" s="330" t="str">
        <f t="shared" si="119"/>
        <v>Hlinné - Soľ</v>
      </c>
      <c r="C692" s="330" t="str">
        <f t="shared" si="119"/>
        <v>Medzistaničný úsek</v>
      </c>
      <c r="D692" s="387" t="str">
        <f t="shared" si="117"/>
        <v>1-koľaj</v>
      </c>
      <c r="E692" s="384">
        <v>0</v>
      </c>
      <c r="F692" s="384">
        <v>0</v>
      </c>
    </row>
    <row r="693" spans="2:6">
      <c r="B693" s="330" t="str">
        <f t="shared" si="119"/>
        <v>Soľ</v>
      </c>
      <c r="C693" s="330" t="str">
        <f t="shared" si="119"/>
        <v>Stanica</v>
      </c>
      <c r="D693" s="387">
        <f t="shared" si="117"/>
        <v>0</v>
      </c>
      <c r="E693" s="384">
        <v>0</v>
      </c>
      <c r="F693" s="384">
        <v>0</v>
      </c>
    </row>
    <row r="694" spans="2:6">
      <c r="B694" s="330" t="str">
        <f t="shared" si="119"/>
        <v xml:space="preserve">Soľ  - Komárany </v>
      </c>
      <c r="C694" s="330" t="str">
        <f t="shared" si="119"/>
        <v>Medzistaničný úsek</v>
      </c>
      <c r="D694" s="387" t="str">
        <f t="shared" si="117"/>
        <v>1-koľaj</v>
      </c>
      <c r="E694" s="384">
        <v>0</v>
      </c>
      <c r="F694" s="384">
        <v>0</v>
      </c>
    </row>
    <row r="695" spans="2:6">
      <c r="B695" s="330" t="str">
        <f t="shared" si="119"/>
        <v>Komárany</v>
      </c>
      <c r="C695" s="330" t="str">
        <f t="shared" si="119"/>
        <v>Stanica</v>
      </c>
      <c r="D695" s="387">
        <f t="shared" si="117"/>
        <v>0</v>
      </c>
      <c r="E695" s="384">
        <v>0</v>
      </c>
      <c r="F695" s="384">
        <v>0</v>
      </c>
    </row>
    <row r="696" spans="2:6">
      <c r="B696" s="330" t="str">
        <f t="shared" si="119"/>
        <v xml:space="preserve">Komárany  - Vranov nad Topľou/mimo/ </v>
      </c>
      <c r="C696" s="330" t="str">
        <f t="shared" si="119"/>
        <v>Medzistaničný úsek</v>
      </c>
      <c r="D696" s="387" t="str">
        <f t="shared" si="117"/>
        <v>1-koľaj</v>
      </c>
      <c r="E696" s="384">
        <v>0</v>
      </c>
      <c r="F696" s="384">
        <v>0</v>
      </c>
    </row>
    <row r="697" spans="2:6">
      <c r="B697" s="330" t="str">
        <f t="shared" si="119"/>
        <v>Vranov nad Topľou</v>
      </c>
      <c r="C697" s="330" t="str">
        <f t="shared" si="119"/>
        <v>Stanica</v>
      </c>
      <c r="D697" s="387">
        <f t="shared" si="117"/>
        <v>0</v>
      </c>
      <c r="E697" s="384">
        <v>0</v>
      </c>
      <c r="F697" s="384">
        <v>0</v>
      </c>
    </row>
    <row r="698" spans="2:6">
      <c r="B698" s="330" t="str">
        <f t="shared" si="119"/>
        <v>Vranov nad Topľou/mimo/  - Vranovské Dlhé</v>
      </c>
      <c r="C698" s="330" t="str">
        <f t="shared" si="119"/>
        <v>Medzistaničný úsek</v>
      </c>
      <c r="D698" s="387" t="str">
        <f t="shared" si="117"/>
        <v>1-koľaj</v>
      </c>
      <c r="E698" s="384">
        <v>0</v>
      </c>
      <c r="F698" s="384">
        <v>0</v>
      </c>
    </row>
    <row r="699" spans="2:6">
      <c r="B699" s="330" t="str">
        <f t="shared" si="119"/>
        <v>Vranovské Dlhé</v>
      </c>
      <c r="C699" s="330" t="str">
        <f t="shared" si="119"/>
        <v>Stanica</v>
      </c>
      <c r="D699" s="387">
        <f t="shared" si="117"/>
        <v>0</v>
      </c>
      <c r="E699" s="384">
        <v>0</v>
      </c>
      <c r="F699" s="384">
        <v>0</v>
      </c>
    </row>
    <row r="700" spans="2:6">
      <c r="B700" s="330" t="str">
        <f t="shared" si="119"/>
        <v>Vranovské Dlhé  - Hencovce</v>
      </c>
      <c r="C700" s="330" t="str">
        <f t="shared" si="119"/>
        <v>Medzistaničný úsek</v>
      </c>
      <c r="D700" s="387" t="str">
        <f t="shared" si="117"/>
        <v>1-koľaj</v>
      </c>
      <c r="E700" s="384">
        <v>0</v>
      </c>
      <c r="F700" s="384">
        <v>0</v>
      </c>
    </row>
    <row r="701" spans="2:6">
      <c r="B701" s="330" t="str">
        <f t="shared" si="119"/>
        <v>Hencovce</v>
      </c>
      <c r="C701" s="330" t="str">
        <f t="shared" si="119"/>
        <v>Stanica</v>
      </c>
      <c r="D701" s="387">
        <f t="shared" si="117"/>
        <v>0</v>
      </c>
      <c r="E701" s="384">
        <v>0</v>
      </c>
      <c r="F701" s="384">
        <v>0</v>
      </c>
    </row>
    <row r="702" spans="2:6">
      <c r="B702" s="330" t="str">
        <f t="shared" si="119"/>
        <v xml:space="preserve">Hencovce  - Nižný Hrabovec/mimo/ </v>
      </c>
      <c r="C702" s="330" t="str">
        <f t="shared" si="119"/>
        <v>Medzistaničný úsek</v>
      </c>
      <c r="D702" s="387" t="str">
        <f t="shared" si="117"/>
        <v>1-koľaj</v>
      </c>
      <c r="E702" s="384">
        <v>0</v>
      </c>
      <c r="F702" s="384">
        <v>0</v>
      </c>
    </row>
    <row r="703" spans="2:6">
      <c r="B703" s="330" t="str">
        <f t="shared" ref="B703:D715" si="120">B639</f>
        <v>Nižný Hrabovec</v>
      </c>
      <c r="C703" s="330" t="str">
        <f t="shared" si="120"/>
        <v>Stanica</v>
      </c>
      <c r="D703" s="387">
        <f t="shared" si="117"/>
        <v>0</v>
      </c>
      <c r="E703" s="384">
        <v>0</v>
      </c>
      <c r="F703" s="384">
        <v>0</v>
      </c>
    </row>
    <row r="704" spans="2:6">
      <c r="B704" s="330" t="str">
        <f t="shared" si="120"/>
        <v xml:space="preserve">Nižný Hrabovec/mimo/  - Strážske/mimo/ </v>
      </c>
      <c r="C704" s="330" t="str">
        <f t="shared" si="120"/>
        <v>Medzistaničný úsek</v>
      </c>
      <c r="D704" s="387" t="str">
        <f t="shared" si="117"/>
        <v>1-koľaj</v>
      </c>
      <c r="E704" s="384">
        <v>0</v>
      </c>
      <c r="F704" s="384">
        <v>0</v>
      </c>
    </row>
    <row r="705" spans="2:7">
      <c r="B705" s="330" t="str">
        <f t="shared" si="120"/>
        <v>Strážske</v>
      </c>
      <c r="C705" s="330" t="str">
        <f t="shared" si="120"/>
        <v>Stanica</v>
      </c>
      <c r="D705" s="387">
        <f t="shared" si="117"/>
        <v>0</v>
      </c>
      <c r="E705" s="384">
        <v>0</v>
      </c>
      <c r="F705" s="384">
        <v>0</v>
      </c>
    </row>
    <row r="706" spans="2:7">
      <c r="B706" s="330" t="str">
        <f t="shared" si="120"/>
        <v>Kapušany pri Prešove/mimo/ - Fulianka/mimo/</v>
      </c>
      <c r="C706" s="330" t="str">
        <f t="shared" si="120"/>
        <v>Medzistaničný úsek</v>
      </c>
      <c r="D706" s="387" t="str">
        <f t="shared" si="120"/>
        <v>1-koľaj</v>
      </c>
      <c r="E706" s="384">
        <v>0</v>
      </c>
      <c r="F706" s="384">
        <v>0</v>
      </c>
    </row>
    <row r="707" spans="2:7">
      <c r="B707" s="330" t="str">
        <f t="shared" si="120"/>
        <v>Fulianka</v>
      </c>
      <c r="C707" s="330" t="str">
        <f t="shared" si="120"/>
        <v>Stanica</v>
      </c>
      <c r="D707" s="387">
        <f t="shared" si="120"/>
        <v>0</v>
      </c>
      <c r="E707" s="384">
        <v>0</v>
      </c>
      <c r="F707" s="384">
        <v>0</v>
      </c>
    </row>
    <row r="708" spans="2:7">
      <c r="B708" s="330" t="str">
        <f t="shared" si="120"/>
        <v>Fulianka/mimo/ - Tulčík/mimo/</v>
      </c>
      <c r="C708" s="330" t="str">
        <f t="shared" si="120"/>
        <v>Medzistaničný úsek</v>
      </c>
      <c r="D708" s="387" t="str">
        <f t="shared" si="120"/>
        <v>1-koľaj</v>
      </c>
      <c r="E708" s="384">
        <v>0</v>
      </c>
      <c r="F708" s="384">
        <v>0</v>
      </c>
    </row>
    <row r="709" spans="2:7">
      <c r="B709" s="330" t="str">
        <f t="shared" si="120"/>
        <v>Tulčík</v>
      </c>
      <c r="C709" s="330" t="str">
        <f t="shared" si="120"/>
        <v>Stanica</v>
      </c>
      <c r="D709" s="387">
        <f t="shared" si="120"/>
        <v>0</v>
      </c>
      <c r="E709" s="384">
        <v>0</v>
      </c>
      <c r="F709" s="384">
        <v>0</v>
      </c>
    </row>
    <row r="710" spans="2:7">
      <c r="B710" s="330" t="str">
        <f t="shared" si="120"/>
        <v>Tulčík/mimo/ - Demjata/mimo/</v>
      </c>
      <c r="C710" s="330" t="str">
        <f t="shared" si="120"/>
        <v>Medzistaničný úsek</v>
      </c>
      <c r="D710" s="387" t="str">
        <f t="shared" si="120"/>
        <v>1-koľaj</v>
      </c>
      <c r="E710" s="384">
        <v>0</v>
      </c>
      <c r="F710" s="384">
        <v>0</v>
      </c>
    </row>
    <row r="711" spans="2:7">
      <c r="B711" s="330" t="str">
        <f t="shared" si="120"/>
        <v>Demjata</v>
      </c>
      <c r="C711" s="330" t="str">
        <f t="shared" si="120"/>
        <v>Stanica</v>
      </c>
      <c r="D711" s="387">
        <f t="shared" si="120"/>
        <v>0</v>
      </c>
      <c r="E711" s="384">
        <v>0</v>
      </c>
      <c r="F711" s="384">
        <v>0</v>
      </c>
    </row>
    <row r="712" spans="2:7">
      <c r="B712" s="330" t="str">
        <f t="shared" si="120"/>
        <v>Demjata/mimo/ - Demjata obec/mimo/</v>
      </c>
      <c r="C712" s="330" t="str">
        <f t="shared" si="120"/>
        <v>Medzistaničný úsek</v>
      </c>
      <c r="D712" s="387" t="str">
        <f t="shared" si="120"/>
        <v>1-koľaj</v>
      </c>
      <c r="E712" s="384">
        <v>0</v>
      </c>
      <c r="F712" s="384">
        <v>0</v>
      </c>
    </row>
    <row r="713" spans="2:7">
      <c r="B713" s="330" t="str">
        <f t="shared" si="120"/>
        <v>Demjata obec</v>
      </c>
      <c r="C713" s="330" t="str">
        <f t="shared" si="120"/>
        <v>Stanica</v>
      </c>
      <c r="D713" s="387">
        <f t="shared" si="120"/>
        <v>0</v>
      </c>
      <c r="E713" s="384">
        <v>0</v>
      </c>
      <c r="F713" s="384">
        <v>0</v>
      </c>
    </row>
    <row r="714" spans="2:7">
      <c r="B714" s="330" t="str">
        <f t="shared" si="120"/>
        <v>Demjata obec/mimo/ - Raslavice/mimo/</v>
      </c>
      <c r="C714" s="330" t="str">
        <f t="shared" si="120"/>
        <v>Medzistaničný úsek</v>
      </c>
      <c r="D714" s="387" t="str">
        <f t="shared" si="120"/>
        <v>1-koľaj</v>
      </c>
      <c r="E714" s="384">
        <v>0</v>
      </c>
      <c r="F714" s="384">
        <v>0</v>
      </c>
    </row>
    <row r="715" spans="2:7">
      <c r="B715" s="330" t="str">
        <f t="shared" si="120"/>
        <v>Raslavice</v>
      </c>
      <c r="C715" s="330" t="str">
        <f t="shared" si="120"/>
        <v>Stanica</v>
      </c>
      <c r="D715" s="387">
        <f t="shared" si="120"/>
        <v>0</v>
      </c>
      <c r="E715" s="384">
        <v>0</v>
      </c>
      <c r="F715" s="384">
        <v>0</v>
      </c>
    </row>
    <row r="719" spans="2:7">
      <c r="B719" s="904" t="s">
        <v>359</v>
      </c>
      <c r="C719" s="904"/>
      <c r="D719" s="904"/>
      <c r="E719" s="904" t="s">
        <v>346</v>
      </c>
      <c r="F719" s="904"/>
      <c r="G719" s="904"/>
    </row>
    <row r="720" spans="2:7" ht="22.5">
      <c r="B720" s="396" t="s">
        <v>347</v>
      </c>
      <c r="C720" s="396" t="s">
        <v>348</v>
      </c>
      <c r="D720" s="396" t="s">
        <v>349</v>
      </c>
      <c r="E720" s="396" t="s">
        <v>350</v>
      </c>
      <c r="F720" s="396" t="s">
        <v>351</v>
      </c>
      <c r="G720" s="396" t="s">
        <v>352</v>
      </c>
    </row>
    <row r="721" spans="2:9">
      <c r="B721" s="449">
        <f>Parametre!B90</f>
        <v>2109.1683626550112</v>
      </c>
      <c r="C721" s="449">
        <f>Parametre!C90</f>
        <v>10440.187739450037</v>
      </c>
      <c r="D721" s="449">
        <f>Parametre!D90</f>
        <v>30020.105050405124</v>
      </c>
      <c r="E721" s="449">
        <f>Parametre!E90</f>
        <v>2645.2649594708491</v>
      </c>
      <c r="F721" s="449">
        <f>Parametre!F90</f>
        <v>2911.356700956082</v>
      </c>
      <c r="G721" s="449">
        <f>Parametre!G90</f>
        <v>4637.0399067647277</v>
      </c>
    </row>
    <row r="722" spans="2:9">
      <c r="B722" s="399" t="s">
        <v>714</v>
      </c>
      <c r="C722" s="331"/>
      <c r="D722" s="331"/>
      <c r="E722" s="331"/>
      <c r="F722" s="331"/>
      <c r="G722" s="331"/>
    </row>
    <row r="725" spans="2:9" ht="15.75" thickBot="1"/>
    <row r="726" spans="2:9" ht="37.5" customHeight="1">
      <c r="C726" s="907" t="s">
        <v>599</v>
      </c>
      <c r="D726" s="926" t="s">
        <v>840</v>
      </c>
      <c r="E726" s="927"/>
      <c r="F726" s="928"/>
      <c r="G726" s="926" t="s">
        <v>841</v>
      </c>
      <c r="H726" s="927"/>
      <c r="I726" s="928"/>
    </row>
    <row r="727" spans="2:9" ht="15.75" thickBot="1">
      <c r="C727" s="908"/>
      <c r="D727" s="400" t="s">
        <v>671</v>
      </c>
      <c r="E727" s="606" t="s">
        <v>680</v>
      </c>
      <c r="F727" s="401" t="s">
        <v>672</v>
      </c>
      <c r="G727" s="400" t="s">
        <v>671</v>
      </c>
      <c r="H727" s="606" t="s">
        <v>680</v>
      </c>
      <c r="I727" s="401" t="s">
        <v>672</v>
      </c>
    </row>
    <row r="728" spans="2:9">
      <c r="B728" s="402" t="s">
        <v>715</v>
      </c>
      <c r="C728" s="461">
        <f>SUMIFS(D737:D871,E737:E871,B720)</f>
        <v>0</v>
      </c>
      <c r="D728" s="614">
        <v>0</v>
      </c>
      <c r="E728" s="615">
        <v>0</v>
      </c>
      <c r="F728" s="616">
        <v>0</v>
      </c>
      <c r="G728" s="771">
        <v>0</v>
      </c>
      <c r="H728" s="772">
        <v>0</v>
      </c>
      <c r="I728" s="773">
        <v>0</v>
      </c>
    </row>
    <row r="729" spans="2:9">
      <c r="B729" s="407" t="s">
        <v>716</v>
      </c>
      <c r="C729" s="462">
        <f>SUMIFS(D737:D871,E737:E871,C720)</f>
        <v>5</v>
      </c>
      <c r="D729" s="617">
        <v>0</v>
      </c>
      <c r="E729" s="618">
        <v>0</v>
      </c>
      <c r="F729" s="619">
        <v>0</v>
      </c>
      <c r="G729" s="770">
        <v>0</v>
      </c>
      <c r="H729" s="774">
        <v>0</v>
      </c>
      <c r="I729" s="775">
        <v>0</v>
      </c>
    </row>
    <row r="730" spans="2:9">
      <c r="B730" s="407" t="s">
        <v>717</v>
      </c>
      <c r="C730" s="462">
        <f>SUMIFS(D737:D871,E737:E871,D720)</f>
        <v>0</v>
      </c>
      <c r="D730" s="617">
        <v>0</v>
      </c>
      <c r="E730" s="618">
        <v>0</v>
      </c>
      <c r="F730" s="619">
        <v>0</v>
      </c>
      <c r="G730" s="770">
        <v>0</v>
      </c>
      <c r="H730" s="774">
        <v>0</v>
      </c>
      <c r="I730" s="775">
        <v>0</v>
      </c>
    </row>
    <row r="731" spans="2:9">
      <c r="B731" s="407" t="s">
        <v>718</v>
      </c>
      <c r="C731" s="462">
        <f>SUMIFS(F737:F871,G737:G871,E720)</f>
        <v>70</v>
      </c>
      <c r="D731" s="770">
        <f>4+12+5+6+3+4+8+6+22</f>
        <v>70</v>
      </c>
      <c r="E731" s="618">
        <v>0</v>
      </c>
      <c r="F731" s="619">
        <v>0</v>
      </c>
      <c r="G731" s="770">
        <f>4+12+5+6+3+4+8+6</f>
        <v>48</v>
      </c>
      <c r="H731" s="774">
        <v>0</v>
      </c>
      <c r="I731" s="775">
        <v>0</v>
      </c>
    </row>
    <row r="732" spans="2:9">
      <c r="B732" s="407" t="s">
        <v>719</v>
      </c>
      <c r="C732" s="462">
        <f>SUMIFS(F737:F871,G737:G871,F720)</f>
        <v>20</v>
      </c>
      <c r="D732" s="770">
        <f>9</f>
        <v>9</v>
      </c>
      <c r="E732" s="618">
        <v>0</v>
      </c>
      <c r="F732" s="619">
        <v>0</v>
      </c>
      <c r="G732" s="770">
        <v>0</v>
      </c>
      <c r="H732" s="774">
        <v>0</v>
      </c>
      <c r="I732" s="775">
        <v>0</v>
      </c>
    </row>
    <row r="733" spans="2:9" ht="15.75" thickBot="1">
      <c r="B733" s="410" t="s">
        <v>720</v>
      </c>
      <c r="C733" s="463">
        <f>SUMIFS(F737:F871,G737:G871,G720)</f>
        <v>0</v>
      </c>
      <c r="D733" s="620">
        <v>0</v>
      </c>
      <c r="E733" s="621">
        <v>10</v>
      </c>
      <c r="F733" s="464">
        <v>1</v>
      </c>
      <c r="G733" s="776">
        <v>0</v>
      </c>
      <c r="H733" s="777">
        <f>4+12+2+2+5+11+2</f>
        <v>38</v>
      </c>
      <c r="I733" s="778">
        <v>4</v>
      </c>
    </row>
    <row r="734" spans="2:9">
      <c r="H734" s="465"/>
    </row>
    <row r="736" spans="2:9" ht="38.25" customHeight="1">
      <c r="D736" s="413" t="s">
        <v>721</v>
      </c>
      <c r="E736" s="413" t="s">
        <v>722</v>
      </c>
      <c r="F736" s="413" t="s">
        <v>723</v>
      </c>
      <c r="G736" s="413" t="s">
        <v>724</v>
      </c>
    </row>
    <row r="737" spans="2:12">
      <c r="B737" s="903" t="str">
        <f>B671</f>
        <v>Prešov</v>
      </c>
      <c r="C737" s="903" t="str">
        <f>C671</f>
        <v>Stanica</v>
      </c>
      <c r="D737" s="923">
        <v>0</v>
      </c>
      <c r="E737" s="911">
        <v>0</v>
      </c>
      <c r="F737" s="466">
        <v>0</v>
      </c>
      <c r="G737" s="467" t="s">
        <v>350</v>
      </c>
      <c r="H737" s="622"/>
    </row>
    <row r="738" spans="2:12">
      <c r="B738" s="903"/>
      <c r="C738" s="903"/>
      <c r="D738" s="923"/>
      <c r="E738" s="911"/>
      <c r="F738" s="466">
        <v>0</v>
      </c>
      <c r="G738" s="467" t="s">
        <v>351</v>
      </c>
    </row>
    <row r="739" spans="2:12">
      <c r="B739" s="903"/>
      <c r="C739" s="903"/>
      <c r="D739" s="923"/>
      <c r="E739" s="911"/>
      <c r="F739" s="466">
        <v>0</v>
      </c>
      <c r="G739" s="467" t="s">
        <v>352</v>
      </c>
    </row>
    <row r="740" spans="2:12">
      <c r="B740" s="903" t="str">
        <f>B672</f>
        <v xml:space="preserve">Prešov/mimo/ - Šarišské Lúky/mimo/ </v>
      </c>
      <c r="C740" s="903" t="str">
        <f>C672</f>
        <v>Medzistaničný úsek</v>
      </c>
      <c r="D740" s="923">
        <v>0</v>
      </c>
      <c r="E740" s="911">
        <v>0</v>
      </c>
      <c r="F740" s="923">
        <v>0</v>
      </c>
      <c r="G740" s="925">
        <v>0</v>
      </c>
    </row>
    <row r="741" spans="2:12">
      <c r="B741" s="903"/>
      <c r="C741" s="903"/>
      <c r="D741" s="923"/>
      <c r="E741" s="911"/>
      <c r="F741" s="923"/>
      <c r="G741" s="925"/>
    </row>
    <row r="742" spans="2:12">
      <c r="B742" s="903"/>
      <c r="C742" s="903"/>
      <c r="D742" s="923"/>
      <c r="E742" s="911"/>
      <c r="F742" s="923"/>
      <c r="G742" s="925"/>
    </row>
    <row r="743" spans="2:12">
      <c r="B743" s="903" t="str">
        <f>B673</f>
        <v>Šarišské Lúky</v>
      </c>
      <c r="C743" s="903" t="str">
        <f>C673</f>
        <v>Stanica</v>
      </c>
      <c r="D743" s="911">
        <v>1</v>
      </c>
      <c r="E743" s="911" t="s">
        <v>348</v>
      </c>
      <c r="F743" s="387">
        <v>12</v>
      </c>
      <c r="G743" s="468" t="str">
        <f>G737</f>
        <v>Ručne prestavované výmeny</v>
      </c>
    </row>
    <row r="744" spans="2:12">
      <c r="B744" s="903"/>
      <c r="C744" s="903"/>
      <c r="D744" s="911"/>
      <c r="E744" s="911"/>
      <c r="F744" s="387">
        <v>0</v>
      </c>
      <c r="G744" s="468" t="str">
        <f t="shared" ref="G744:G745" si="121">G738</f>
        <v>Ústredne prestavované výmeny</v>
      </c>
    </row>
    <row r="745" spans="2:12">
      <c r="B745" s="903"/>
      <c r="C745" s="903"/>
      <c r="D745" s="911"/>
      <c r="E745" s="911"/>
      <c r="F745" s="387">
        <v>0</v>
      </c>
      <c r="G745" s="468" t="str">
        <f t="shared" si="121"/>
        <v>Elektronické stavadlo a reléové (vrátane DOZZ)</v>
      </c>
      <c r="K745" s="465"/>
      <c r="L745" s="469"/>
    </row>
    <row r="746" spans="2:12">
      <c r="B746" s="903" t="str">
        <f>B674</f>
        <v xml:space="preserve">Šarišské Lúky/mimo/  - Kapušany pri Prešove/mimo/ </v>
      </c>
      <c r="C746" s="922" t="str">
        <f>C674</f>
        <v>Medzistaničný úsek</v>
      </c>
      <c r="D746" s="923">
        <v>0</v>
      </c>
      <c r="E746" s="911">
        <v>0</v>
      </c>
      <c r="F746" s="923">
        <v>0</v>
      </c>
      <c r="G746" s="925">
        <v>0</v>
      </c>
      <c r="K746" s="465"/>
    </row>
    <row r="747" spans="2:12">
      <c r="B747" s="903"/>
      <c r="C747" s="922"/>
      <c r="D747" s="923"/>
      <c r="E747" s="911"/>
      <c r="F747" s="923"/>
      <c r="G747" s="925"/>
      <c r="K747" s="465"/>
    </row>
    <row r="748" spans="2:12">
      <c r="B748" s="903"/>
      <c r="C748" s="922"/>
      <c r="D748" s="923"/>
      <c r="E748" s="911"/>
      <c r="F748" s="923"/>
      <c r="G748" s="925"/>
    </row>
    <row r="749" spans="2:12">
      <c r="B749" s="903" t="str">
        <f>B675</f>
        <v>Kapušany pri Prešove</v>
      </c>
      <c r="C749" s="903" t="str">
        <f>C675</f>
        <v>Stanica</v>
      </c>
      <c r="D749" s="923">
        <v>0</v>
      </c>
      <c r="E749" s="911">
        <v>0</v>
      </c>
      <c r="F749" s="466">
        <v>1</v>
      </c>
      <c r="G749" s="467" t="s">
        <v>350</v>
      </c>
    </row>
    <row r="750" spans="2:12">
      <c r="B750" s="903"/>
      <c r="C750" s="903"/>
      <c r="D750" s="923"/>
      <c r="E750" s="911"/>
      <c r="F750" s="466">
        <v>15</v>
      </c>
      <c r="G750" s="467" t="s">
        <v>351</v>
      </c>
    </row>
    <row r="751" spans="2:12">
      <c r="B751" s="903"/>
      <c r="C751" s="903"/>
      <c r="D751" s="923"/>
      <c r="E751" s="911"/>
      <c r="F751" s="466">
        <v>0</v>
      </c>
      <c r="G751" s="467" t="s">
        <v>352</v>
      </c>
    </row>
    <row r="752" spans="2:12">
      <c r="B752" s="903" t="str">
        <f>B676</f>
        <v>Kapušany pri Prešove/mimo/  - Lada</v>
      </c>
      <c r="C752" s="903" t="str">
        <f>C676</f>
        <v>Medzistaničný úsek</v>
      </c>
      <c r="D752" s="923">
        <v>0</v>
      </c>
      <c r="E752" s="911">
        <v>0</v>
      </c>
      <c r="F752" s="923">
        <v>0</v>
      </c>
      <c r="G752" s="925">
        <v>0</v>
      </c>
    </row>
    <row r="753" spans="2:7">
      <c r="B753" s="903"/>
      <c r="C753" s="903"/>
      <c r="D753" s="923"/>
      <c r="E753" s="911"/>
      <c r="F753" s="923"/>
      <c r="G753" s="925"/>
    </row>
    <row r="754" spans="2:7">
      <c r="B754" s="903"/>
      <c r="C754" s="903"/>
      <c r="D754" s="923"/>
      <c r="E754" s="911"/>
      <c r="F754" s="923"/>
      <c r="G754" s="925"/>
    </row>
    <row r="755" spans="2:7">
      <c r="B755" s="903" t="str">
        <f>B677</f>
        <v>Lada</v>
      </c>
      <c r="C755" s="903" t="str">
        <f>C677</f>
        <v>Stanica</v>
      </c>
      <c r="D755" s="923">
        <v>0</v>
      </c>
      <c r="E755" s="911">
        <v>0</v>
      </c>
      <c r="F755" s="923">
        <v>0</v>
      </c>
      <c r="G755" s="925">
        <v>0</v>
      </c>
    </row>
    <row r="756" spans="2:7">
      <c r="B756" s="903"/>
      <c r="C756" s="903"/>
      <c r="D756" s="923"/>
      <c r="E756" s="911"/>
      <c r="F756" s="923"/>
      <c r="G756" s="925"/>
    </row>
    <row r="757" spans="2:7">
      <c r="B757" s="903"/>
      <c r="C757" s="903"/>
      <c r="D757" s="923"/>
      <c r="E757" s="911"/>
      <c r="F757" s="923"/>
      <c r="G757" s="925"/>
    </row>
    <row r="758" spans="2:7">
      <c r="B758" s="903" t="str">
        <f>B678</f>
        <v xml:space="preserve">Lada  - Lipníky/mimo/ </v>
      </c>
      <c r="C758" s="903" t="str">
        <f>C678</f>
        <v>Medzistaničný úsek</v>
      </c>
      <c r="D758" s="923">
        <v>0</v>
      </c>
      <c r="E758" s="911">
        <v>0</v>
      </c>
      <c r="F758" s="923">
        <v>0</v>
      </c>
      <c r="G758" s="925">
        <v>0</v>
      </c>
    </row>
    <row r="759" spans="2:7">
      <c r="B759" s="903"/>
      <c r="C759" s="903"/>
      <c r="D759" s="923"/>
      <c r="E759" s="911"/>
      <c r="F759" s="923"/>
      <c r="G759" s="925"/>
    </row>
    <row r="760" spans="2:7">
      <c r="B760" s="903"/>
      <c r="C760" s="903"/>
      <c r="D760" s="923"/>
      <c r="E760" s="911"/>
      <c r="F760" s="923"/>
      <c r="G760" s="925"/>
    </row>
    <row r="761" spans="2:7">
      <c r="B761" s="903" t="str">
        <f>B679</f>
        <v>Lipníky</v>
      </c>
      <c r="C761" s="903" t="str">
        <f>C679</f>
        <v>Stanica</v>
      </c>
      <c r="D761" s="923">
        <v>0</v>
      </c>
      <c r="E761" s="911">
        <v>0</v>
      </c>
      <c r="F761" s="466">
        <v>0</v>
      </c>
      <c r="G761" s="467" t="s">
        <v>350</v>
      </c>
    </row>
    <row r="762" spans="2:7">
      <c r="B762" s="903"/>
      <c r="C762" s="903"/>
      <c r="D762" s="923"/>
      <c r="E762" s="911"/>
      <c r="F762" s="466">
        <v>5</v>
      </c>
      <c r="G762" s="467" t="s">
        <v>351</v>
      </c>
    </row>
    <row r="763" spans="2:7">
      <c r="B763" s="903"/>
      <c r="C763" s="903"/>
      <c r="D763" s="923"/>
      <c r="E763" s="911"/>
      <c r="F763" s="466">
        <v>0</v>
      </c>
      <c r="G763" s="467" t="s">
        <v>352</v>
      </c>
    </row>
    <row r="764" spans="2:7">
      <c r="B764" s="903" t="str">
        <f>B680</f>
        <v>Lipníky/mimo/  - Pavlovce</v>
      </c>
      <c r="C764" s="903" t="str">
        <f>C680</f>
        <v>Medzistaničný úsek</v>
      </c>
      <c r="D764" s="923">
        <v>0</v>
      </c>
      <c r="E764" s="911">
        <v>0</v>
      </c>
      <c r="F764" s="923">
        <v>0</v>
      </c>
      <c r="G764" s="925">
        <v>0</v>
      </c>
    </row>
    <row r="765" spans="2:7">
      <c r="B765" s="903"/>
      <c r="C765" s="903"/>
      <c r="D765" s="923"/>
      <c r="E765" s="911"/>
      <c r="F765" s="923"/>
      <c r="G765" s="925"/>
    </row>
    <row r="766" spans="2:7">
      <c r="B766" s="903"/>
      <c r="C766" s="903"/>
      <c r="D766" s="923"/>
      <c r="E766" s="911"/>
      <c r="F766" s="923"/>
      <c r="G766" s="925"/>
    </row>
    <row r="767" spans="2:7">
      <c r="B767" s="903" t="str">
        <f>B681</f>
        <v>Pavlovce</v>
      </c>
      <c r="C767" s="903" t="str">
        <f>C681</f>
        <v>Stanica</v>
      </c>
      <c r="D767" s="923">
        <v>0</v>
      </c>
      <c r="E767" s="911">
        <v>0</v>
      </c>
      <c r="F767" s="923">
        <v>0</v>
      </c>
      <c r="G767" s="925">
        <v>0</v>
      </c>
    </row>
    <row r="768" spans="2:7">
      <c r="B768" s="903"/>
      <c r="C768" s="903"/>
      <c r="D768" s="923"/>
      <c r="E768" s="911"/>
      <c r="F768" s="923"/>
      <c r="G768" s="925"/>
    </row>
    <row r="769" spans="2:8">
      <c r="B769" s="903"/>
      <c r="C769" s="903"/>
      <c r="D769" s="923"/>
      <c r="E769" s="911"/>
      <c r="F769" s="923"/>
      <c r="G769" s="925"/>
    </row>
    <row r="770" spans="2:8">
      <c r="B770" s="903" t="str">
        <f>B682</f>
        <v>Pavlovce  - Hanušovce nad Topľou mesto</v>
      </c>
      <c r="C770" s="903" t="str">
        <f>C682</f>
        <v>Medzistaničný úsek</v>
      </c>
      <c r="D770" s="923">
        <v>0</v>
      </c>
      <c r="E770" s="911">
        <v>0</v>
      </c>
      <c r="F770" s="923">
        <v>0</v>
      </c>
      <c r="G770" s="925">
        <v>0</v>
      </c>
    </row>
    <row r="771" spans="2:8">
      <c r="B771" s="903"/>
      <c r="C771" s="903"/>
      <c r="D771" s="923"/>
      <c r="E771" s="911"/>
      <c r="F771" s="923"/>
      <c r="G771" s="925"/>
    </row>
    <row r="772" spans="2:8">
      <c r="B772" s="903"/>
      <c r="C772" s="903"/>
      <c r="D772" s="923"/>
      <c r="E772" s="911"/>
      <c r="F772" s="923"/>
      <c r="G772" s="925"/>
    </row>
    <row r="773" spans="2:8">
      <c r="B773" s="903" t="str">
        <f>B683</f>
        <v>Hanušovce nad Topľou mesto</v>
      </c>
      <c r="C773" s="903" t="str">
        <f>C683</f>
        <v>Stanica</v>
      </c>
      <c r="D773" s="923">
        <v>0</v>
      </c>
      <c r="E773" s="911">
        <v>0</v>
      </c>
      <c r="F773" s="923">
        <v>0</v>
      </c>
      <c r="G773" s="925">
        <v>0</v>
      </c>
    </row>
    <row r="774" spans="2:8">
      <c r="B774" s="903"/>
      <c r="C774" s="903"/>
      <c r="D774" s="923"/>
      <c r="E774" s="911"/>
      <c r="F774" s="923"/>
      <c r="G774" s="925"/>
    </row>
    <row r="775" spans="2:8">
      <c r="B775" s="903"/>
      <c r="C775" s="903"/>
      <c r="D775" s="923"/>
      <c r="E775" s="911"/>
      <c r="F775" s="923"/>
      <c r="G775" s="925"/>
    </row>
    <row r="776" spans="2:8">
      <c r="B776" s="903" t="str">
        <f>B684</f>
        <v xml:space="preserve">Hanušovce nad Topľou mesto  - Hanušovce nad Topľou/mimo/ </v>
      </c>
      <c r="C776" s="903" t="str">
        <f>C684</f>
        <v>Medzistaničný úsek</v>
      </c>
      <c r="D776" s="923">
        <v>0</v>
      </c>
      <c r="E776" s="911">
        <v>0</v>
      </c>
      <c r="F776" s="923">
        <v>0</v>
      </c>
      <c r="G776" s="925">
        <v>0</v>
      </c>
    </row>
    <row r="777" spans="2:8">
      <c r="B777" s="903"/>
      <c r="C777" s="903"/>
      <c r="D777" s="923"/>
      <c r="E777" s="911"/>
      <c r="F777" s="923"/>
      <c r="G777" s="925"/>
    </row>
    <row r="778" spans="2:8">
      <c r="B778" s="903"/>
      <c r="C778" s="903"/>
      <c r="D778" s="923"/>
      <c r="E778" s="911"/>
      <c r="F778" s="923"/>
      <c r="G778" s="925"/>
    </row>
    <row r="779" spans="2:8">
      <c r="B779" s="903" t="str">
        <f>B685</f>
        <v>Hanušovce nad Topľou</v>
      </c>
      <c r="C779" s="903" t="str">
        <f>C685</f>
        <v>Stanica</v>
      </c>
      <c r="D779" s="923">
        <v>1</v>
      </c>
      <c r="E779" s="911" t="s">
        <v>348</v>
      </c>
      <c r="F779" s="466">
        <v>8</v>
      </c>
      <c r="G779" s="467" t="str">
        <f>G761</f>
        <v>Ručne prestavované výmeny</v>
      </c>
      <c r="H779" s="384"/>
    </row>
    <row r="780" spans="2:8">
      <c r="B780" s="903"/>
      <c r="C780" s="903"/>
      <c r="D780" s="923"/>
      <c r="E780" s="911"/>
      <c r="F780" s="466">
        <v>0</v>
      </c>
      <c r="G780" s="467" t="str">
        <f>G762</f>
        <v>Ústredne prestavované výmeny</v>
      </c>
      <c r="H780" s="384"/>
    </row>
    <row r="781" spans="2:8">
      <c r="B781" s="903"/>
      <c r="C781" s="903"/>
      <c r="D781" s="923"/>
      <c r="E781" s="911"/>
      <c r="F781" s="466">
        <v>0</v>
      </c>
      <c r="G781" s="467" t="str">
        <f>G763</f>
        <v>Elektronické stavadlo a reléové (vrátane DOZZ)</v>
      </c>
      <c r="H781" s="384"/>
    </row>
    <row r="782" spans="2:8">
      <c r="B782" s="903" t="str">
        <f>B686</f>
        <v>Hanušovce nad Topľou/mimo/  - Bystré</v>
      </c>
      <c r="C782" s="903" t="str">
        <f>C686</f>
        <v>Medzistaničný úsek</v>
      </c>
      <c r="D782" s="923">
        <v>0</v>
      </c>
      <c r="E782" s="911">
        <v>0</v>
      </c>
      <c r="F782" s="923">
        <v>0</v>
      </c>
      <c r="G782" s="925">
        <v>0</v>
      </c>
    </row>
    <row r="783" spans="2:8">
      <c r="B783" s="903"/>
      <c r="C783" s="903"/>
      <c r="D783" s="923"/>
      <c r="E783" s="911"/>
      <c r="F783" s="923"/>
      <c r="G783" s="925"/>
    </row>
    <row r="784" spans="2:8">
      <c r="B784" s="903"/>
      <c r="C784" s="903"/>
      <c r="D784" s="923"/>
      <c r="E784" s="911"/>
      <c r="F784" s="923"/>
      <c r="G784" s="925"/>
    </row>
    <row r="785" spans="2:7">
      <c r="B785" s="903" t="str">
        <f>B687</f>
        <v>Bystré</v>
      </c>
      <c r="C785" s="903" t="str">
        <f>C687</f>
        <v>Stanica</v>
      </c>
      <c r="D785" s="923">
        <v>0</v>
      </c>
      <c r="E785" s="911">
        <v>0</v>
      </c>
      <c r="F785" s="923">
        <v>0</v>
      </c>
      <c r="G785" s="925">
        <v>0</v>
      </c>
    </row>
    <row r="786" spans="2:7">
      <c r="B786" s="903"/>
      <c r="C786" s="903"/>
      <c r="D786" s="923"/>
      <c r="E786" s="911"/>
      <c r="F786" s="923"/>
      <c r="G786" s="925"/>
    </row>
    <row r="787" spans="2:7">
      <c r="B787" s="903"/>
      <c r="C787" s="903"/>
      <c r="D787" s="923"/>
      <c r="E787" s="911"/>
      <c r="F787" s="923"/>
      <c r="G787" s="925"/>
    </row>
    <row r="788" spans="2:7">
      <c r="B788" s="903" t="str">
        <f>B688</f>
        <v xml:space="preserve">Bystré  - Čierne nad Topľou/mimo/ </v>
      </c>
      <c r="C788" s="903" t="str">
        <f>C688</f>
        <v>Medzistaničný úsek</v>
      </c>
      <c r="D788" s="923">
        <v>0</v>
      </c>
      <c r="E788" s="911">
        <v>0</v>
      </c>
      <c r="F788" s="923">
        <v>0</v>
      </c>
      <c r="G788" s="925">
        <v>0</v>
      </c>
    </row>
    <row r="789" spans="2:7">
      <c r="B789" s="903"/>
      <c r="C789" s="903"/>
      <c r="D789" s="923"/>
      <c r="E789" s="911"/>
      <c r="F789" s="923"/>
      <c r="G789" s="925"/>
    </row>
    <row r="790" spans="2:7">
      <c r="B790" s="903"/>
      <c r="C790" s="903"/>
      <c r="D790" s="923"/>
      <c r="E790" s="911"/>
      <c r="F790" s="923"/>
      <c r="G790" s="925"/>
    </row>
    <row r="791" spans="2:7">
      <c r="B791" s="903" t="str">
        <f>B689</f>
        <v>Čierne nad Topľou</v>
      </c>
      <c r="C791" s="903" t="str">
        <f>C689</f>
        <v>Stanica</v>
      </c>
      <c r="D791" s="923">
        <v>1</v>
      </c>
      <c r="E791" s="911" t="s">
        <v>348</v>
      </c>
      <c r="F791" s="466">
        <v>10</v>
      </c>
      <c r="G791" s="467" t="str">
        <f>G779</f>
        <v>Ručne prestavované výmeny</v>
      </c>
    </row>
    <row r="792" spans="2:7">
      <c r="B792" s="903"/>
      <c r="C792" s="903"/>
      <c r="D792" s="923"/>
      <c r="E792" s="911"/>
      <c r="F792" s="466">
        <v>0</v>
      </c>
      <c r="G792" s="467" t="str">
        <f t="shared" ref="G792:G793" si="122">G780</f>
        <v>Ústredne prestavované výmeny</v>
      </c>
    </row>
    <row r="793" spans="2:7">
      <c r="B793" s="903"/>
      <c r="C793" s="903"/>
      <c r="D793" s="923"/>
      <c r="E793" s="911"/>
      <c r="F793" s="466">
        <v>0</v>
      </c>
      <c r="G793" s="467" t="str">
        <f t="shared" si="122"/>
        <v>Elektronické stavadlo a reléové (vrátane DOZZ)</v>
      </c>
    </row>
    <row r="794" spans="2:7">
      <c r="B794" s="903" t="str">
        <f>B690</f>
        <v>Čierne nad Topľou/mimo/  - Hlinné</v>
      </c>
      <c r="C794" s="903" t="str">
        <f>C690</f>
        <v>Medzistaničný úsek</v>
      </c>
      <c r="D794" s="923">
        <v>0</v>
      </c>
      <c r="E794" s="911">
        <v>0</v>
      </c>
      <c r="F794" s="923">
        <v>0</v>
      </c>
      <c r="G794" s="925">
        <v>0</v>
      </c>
    </row>
    <row r="795" spans="2:7">
      <c r="B795" s="903"/>
      <c r="C795" s="903"/>
      <c r="D795" s="923"/>
      <c r="E795" s="911"/>
      <c r="F795" s="923"/>
      <c r="G795" s="925"/>
    </row>
    <row r="796" spans="2:7">
      <c r="B796" s="903"/>
      <c r="C796" s="903"/>
      <c r="D796" s="923"/>
      <c r="E796" s="911"/>
      <c r="F796" s="923"/>
      <c r="G796" s="925"/>
    </row>
    <row r="797" spans="2:7">
      <c r="B797" s="903" t="str">
        <f>B691</f>
        <v>Hlinné</v>
      </c>
      <c r="C797" s="903" t="str">
        <f>C691</f>
        <v>Stanica</v>
      </c>
      <c r="D797" s="923">
        <v>0</v>
      </c>
      <c r="E797" s="911">
        <v>0</v>
      </c>
      <c r="F797" s="923">
        <v>0</v>
      </c>
      <c r="G797" s="925">
        <v>0</v>
      </c>
    </row>
    <row r="798" spans="2:7">
      <c r="B798" s="903"/>
      <c r="C798" s="903"/>
      <c r="D798" s="923"/>
      <c r="E798" s="911"/>
      <c r="F798" s="923"/>
      <c r="G798" s="925"/>
    </row>
    <row r="799" spans="2:7">
      <c r="B799" s="903"/>
      <c r="C799" s="903"/>
      <c r="D799" s="923"/>
      <c r="E799" s="911"/>
      <c r="F799" s="923"/>
      <c r="G799" s="925"/>
    </row>
    <row r="800" spans="2:7">
      <c r="B800" s="903" t="str">
        <f>B692</f>
        <v>Hlinné - Soľ</v>
      </c>
      <c r="C800" s="903" t="str">
        <f>C692</f>
        <v>Medzistaničný úsek</v>
      </c>
      <c r="D800" s="923">
        <v>0</v>
      </c>
      <c r="E800" s="911">
        <v>0</v>
      </c>
      <c r="F800" s="923">
        <v>0</v>
      </c>
      <c r="G800" s="925">
        <v>0</v>
      </c>
    </row>
    <row r="801" spans="2:7">
      <c r="B801" s="903"/>
      <c r="C801" s="903"/>
      <c r="D801" s="923"/>
      <c r="E801" s="911"/>
      <c r="F801" s="923"/>
      <c r="G801" s="925"/>
    </row>
    <row r="802" spans="2:7">
      <c r="B802" s="903"/>
      <c r="C802" s="903"/>
      <c r="D802" s="923"/>
      <c r="E802" s="911"/>
      <c r="F802" s="923"/>
      <c r="G802" s="925"/>
    </row>
    <row r="803" spans="2:7">
      <c r="B803" s="903" t="str">
        <f>B693</f>
        <v>Soľ</v>
      </c>
      <c r="C803" s="903" t="str">
        <f>C693</f>
        <v>Stanica</v>
      </c>
      <c r="D803" s="923">
        <v>0</v>
      </c>
      <c r="E803" s="911">
        <v>0</v>
      </c>
      <c r="F803" s="923">
        <v>0</v>
      </c>
      <c r="G803" s="925">
        <v>0</v>
      </c>
    </row>
    <row r="804" spans="2:7">
      <c r="B804" s="903"/>
      <c r="C804" s="903"/>
      <c r="D804" s="923"/>
      <c r="E804" s="911"/>
      <c r="F804" s="923"/>
      <c r="G804" s="925"/>
    </row>
    <row r="805" spans="2:7">
      <c r="B805" s="903"/>
      <c r="C805" s="903"/>
      <c r="D805" s="923"/>
      <c r="E805" s="911"/>
      <c r="F805" s="923"/>
      <c r="G805" s="925"/>
    </row>
    <row r="806" spans="2:7">
      <c r="B806" s="903" t="str">
        <f>B694</f>
        <v xml:space="preserve">Soľ  - Komárany </v>
      </c>
      <c r="C806" s="903" t="str">
        <f>C694</f>
        <v>Medzistaničný úsek</v>
      </c>
      <c r="D806" s="923">
        <v>0</v>
      </c>
      <c r="E806" s="911">
        <v>0</v>
      </c>
      <c r="F806" s="923">
        <v>0</v>
      </c>
      <c r="G806" s="925">
        <v>0</v>
      </c>
    </row>
    <row r="807" spans="2:7">
      <c r="B807" s="903"/>
      <c r="C807" s="903"/>
      <c r="D807" s="923"/>
      <c r="E807" s="911"/>
      <c r="F807" s="923"/>
      <c r="G807" s="925"/>
    </row>
    <row r="808" spans="2:7">
      <c r="B808" s="903"/>
      <c r="C808" s="903"/>
      <c r="D808" s="923"/>
      <c r="E808" s="911"/>
      <c r="F808" s="923"/>
      <c r="G808" s="925"/>
    </row>
    <row r="809" spans="2:7">
      <c r="B809" s="903" t="str">
        <f>B695</f>
        <v>Komárany</v>
      </c>
      <c r="C809" s="903" t="str">
        <f>C695</f>
        <v>Stanica</v>
      </c>
      <c r="D809" s="923">
        <v>0</v>
      </c>
      <c r="E809" s="911">
        <v>0</v>
      </c>
      <c r="F809" s="923">
        <v>0</v>
      </c>
      <c r="G809" s="925">
        <v>0</v>
      </c>
    </row>
    <row r="810" spans="2:7">
      <c r="B810" s="903"/>
      <c r="C810" s="903"/>
      <c r="D810" s="923"/>
      <c r="E810" s="911"/>
      <c r="F810" s="923"/>
      <c r="G810" s="925"/>
    </row>
    <row r="811" spans="2:7">
      <c r="B811" s="903"/>
      <c r="C811" s="903"/>
      <c r="D811" s="923"/>
      <c r="E811" s="911"/>
      <c r="F811" s="923"/>
      <c r="G811" s="925"/>
    </row>
    <row r="812" spans="2:7">
      <c r="B812" s="903" t="str">
        <f>B696</f>
        <v xml:space="preserve">Komárany  - Vranov nad Topľou/mimo/ </v>
      </c>
      <c r="C812" s="903" t="str">
        <f>C696</f>
        <v>Medzistaničný úsek</v>
      </c>
      <c r="D812" s="923">
        <v>0</v>
      </c>
      <c r="E812" s="911">
        <v>0</v>
      </c>
      <c r="F812" s="923">
        <v>0</v>
      </c>
      <c r="G812" s="925">
        <v>0</v>
      </c>
    </row>
    <row r="813" spans="2:7">
      <c r="B813" s="903"/>
      <c r="C813" s="903"/>
      <c r="D813" s="923"/>
      <c r="E813" s="911"/>
      <c r="F813" s="923"/>
      <c r="G813" s="925"/>
    </row>
    <row r="814" spans="2:7">
      <c r="B814" s="903"/>
      <c r="C814" s="903"/>
      <c r="D814" s="923"/>
      <c r="E814" s="911"/>
      <c r="F814" s="923"/>
      <c r="G814" s="925"/>
    </row>
    <row r="815" spans="2:7">
      <c r="B815" s="903" t="str">
        <f>B697</f>
        <v>Vranov nad Topľou</v>
      </c>
      <c r="C815" s="903" t="str">
        <f>C697</f>
        <v>Stanica</v>
      </c>
      <c r="D815" s="923">
        <v>0</v>
      </c>
      <c r="E815" s="911">
        <v>0</v>
      </c>
      <c r="F815" s="466">
        <v>23</v>
      </c>
      <c r="G815" s="467" t="s">
        <v>350</v>
      </c>
    </row>
    <row r="816" spans="2:7">
      <c r="B816" s="903"/>
      <c r="C816" s="903"/>
      <c r="D816" s="923"/>
      <c r="E816" s="911"/>
      <c r="F816" s="466">
        <v>0</v>
      </c>
      <c r="G816" s="467" t="s">
        <v>351</v>
      </c>
    </row>
    <row r="817" spans="2:7">
      <c r="B817" s="903"/>
      <c r="C817" s="903"/>
      <c r="D817" s="923"/>
      <c r="E817" s="911"/>
      <c r="F817" s="466">
        <v>0</v>
      </c>
      <c r="G817" s="467" t="s">
        <v>352</v>
      </c>
    </row>
    <row r="818" spans="2:7">
      <c r="B818" s="903" t="str">
        <f>B698</f>
        <v>Vranov nad Topľou/mimo/  - Vranovské Dlhé</v>
      </c>
      <c r="C818" s="903" t="str">
        <f>C698</f>
        <v>Medzistaničný úsek</v>
      </c>
      <c r="D818" s="923">
        <v>0</v>
      </c>
      <c r="E818" s="911">
        <v>0</v>
      </c>
      <c r="F818" s="923">
        <v>0</v>
      </c>
      <c r="G818" s="925">
        <v>0</v>
      </c>
    </row>
    <row r="819" spans="2:7">
      <c r="B819" s="903"/>
      <c r="C819" s="903"/>
      <c r="D819" s="923"/>
      <c r="E819" s="911"/>
      <c r="F819" s="923"/>
      <c r="G819" s="925"/>
    </row>
    <row r="820" spans="2:7">
      <c r="B820" s="903"/>
      <c r="C820" s="903"/>
      <c r="D820" s="923"/>
      <c r="E820" s="911"/>
      <c r="F820" s="923"/>
      <c r="G820" s="925"/>
    </row>
    <row r="821" spans="2:7">
      <c r="B821" s="903" t="str">
        <f>B699</f>
        <v>Vranovské Dlhé</v>
      </c>
      <c r="C821" s="903" t="str">
        <f>C699</f>
        <v>Stanica</v>
      </c>
      <c r="D821" s="923">
        <v>0</v>
      </c>
      <c r="E821" s="911">
        <v>0</v>
      </c>
      <c r="F821" s="923">
        <v>0</v>
      </c>
      <c r="G821" s="925">
        <v>0</v>
      </c>
    </row>
    <row r="822" spans="2:7">
      <c r="B822" s="903"/>
      <c r="C822" s="903"/>
      <c r="D822" s="923"/>
      <c r="E822" s="911"/>
      <c r="F822" s="923"/>
      <c r="G822" s="925"/>
    </row>
    <row r="823" spans="2:7">
      <c r="B823" s="903"/>
      <c r="C823" s="903"/>
      <c r="D823" s="923"/>
      <c r="E823" s="911"/>
      <c r="F823" s="923"/>
      <c r="G823" s="925"/>
    </row>
    <row r="824" spans="2:7">
      <c r="B824" s="903" t="str">
        <f>B700</f>
        <v>Vranovské Dlhé  - Hencovce</v>
      </c>
      <c r="C824" s="903" t="str">
        <f>C700</f>
        <v>Medzistaničný úsek</v>
      </c>
      <c r="D824" s="923">
        <v>0</v>
      </c>
      <c r="E824" s="911">
        <v>0</v>
      </c>
      <c r="F824" s="923">
        <v>0</v>
      </c>
      <c r="G824" s="925">
        <v>0</v>
      </c>
    </row>
    <row r="825" spans="2:7">
      <c r="B825" s="903"/>
      <c r="C825" s="903"/>
      <c r="D825" s="923"/>
      <c r="E825" s="911"/>
      <c r="F825" s="923"/>
      <c r="G825" s="925"/>
    </row>
    <row r="826" spans="2:7">
      <c r="B826" s="903"/>
      <c r="C826" s="903"/>
      <c r="D826" s="923"/>
      <c r="E826" s="911"/>
      <c r="F826" s="923"/>
      <c r="G826" s="925"/>
    </row>
    <row r="827" spans="2:7">
      <c r="B827" s="903" t="str">
        <f>B701</f>
        <v>Hencovce</v>
      </c>
      <c r="C827" s="903" t="str">
        <f>C701</f>
        <v>Stanica</v>
      </c>
      <c r="D827" s="923">
        <v>0</v>
      </c>
      <c r="E827" s="911">
        <v>0</v>
      </c>
      <c r="F827" s="923">
        <v>0</v>
      </c>
      <c r="G827" s="925">
        <v>0</v>
      </c>
    </row>
    <row r="828" spans="2:7">
      <c r="B828" s="903"/>
      <c r="C828" s="903"/>
      <c r="D828" s="923"/>
      <c r="E828" s="911"/>
      <c r="F828" s="923"/>
      <c r="G828" s="925"/>
    </row>
    <row r="829" spans="2:7">
      <c r="B829" s="903"/>
      <c r="C829" s="903"/>
      <c r="D829" s="923"/>
      <c r="E829" s="911"/>
      <c r="F829" s="923"/>
      <c r="G829" s="925"/>
    </row>
    <row r="830" spans="2:7">
      <c r="B830" s="903" t="str">
        <f>B702</f>
        <v xml:space="preserve">Hencovce  - Nižný Hrabovec/mimo/ </v>
      </c>
      <c r="C830" s="903" t="str">
        <f>C702</f>
        <v>Medzistaničný úsek</v>
      </c>
      <c r="D830" s="923">
        <v>0</v>
      </c>
      <c r="E830" s="911">
        <v>0</v>
      </c>
      <c r="F830" s="923">
        <v>0</v>
      </c>
      <c r="G830" s="925">
        <v>0</v>
      </c>
    </row>
    <row r="831" spans="2:7">
      <c r="B831" s="903"/>
      <c r="C831" s="903"/>
      <c r="D831" s="923"/>
      <c r="E831" s="911"/>
      <c r="F831" s="923"/>
      <c r="G831" s="925"/>
    </row>
    <row r="832" spans="2:7">
      <c r="B832" s="903"/>
      <c r="C832" s="903"/>
      <c r="D832" s="923"/>
      <c r="E832" s="911"/>
      <c r="F832" s="923"/>
      <c r="G832" s="925"/>
    </row>
    <row r="833" spans="2:7">
      <c r="B833" s="903" t="str">
        <f>B703</f>
        <v>Nižný Hrabovec</v>
      </c>
      <c r="C833" s="903" t="str">
        <f>C703</f>
        <v>Stanica</v>
      </c>
      <c r="D833" s="923">
        <v>1</v>
      </c>
      <c r="E833" s="911" t="s">
        <v>348</v>
      </c>
      <c r="F833" s="387">
        <v>10</v>
      </c>
      <c r="G833" s="467" t="str">
        <f>G815</f>
        <v>Ručne prestavované výmeny</v>
      </c>
    </row>
    <row r="834" spans="2:7">
      <c r="B834" s="903"/>
      <c r="C834" s="903"/>
      <c r="D834" s="923"/>
      <c r="E834" s="911"/>
      <c r="F834" s="387">
        <v>0</v>
      </c>
      <c r="G834" s="467" t="str">
        <f t="shared" ref="G834:G835" si="123">G816</f>
        <v>Ústredne prestavované výmeny</v>
      </c>
    </row>
    <row r="835" spans="2:7">
      <c r="B835" s="903"/>
      <c r="C835" s="903"/>
      <c r="D835" s="923"/>
      <c r="E835" s="911"/>
      <c r="F835" s="387">
        <v>0</v>
      </c>
      <c r="G835" s="467" t="str">
        <f t="shared" si="123"/>
        <v>Elektronické stavadlo a reléové (vrátane DOZZ)</v>
      </c>
    </row>
    <row r="836" spans="2:7">
      <c r="B836" s="903" t="str">
        <f>B704</f>
        <v xml:space="preserve">Nižný Hrabovec/mimo/  - Strážske/mimo/ </v>
      </c>
      <c r="C836" s="903" t="str">
        <f>C704</f>
        <v>Medzistaničný úsek</v>
      </c>
      <c r="D836" s="923">
        <v>0</v>
      </c>
      <c r="E836" s="911">
        <v>0</v>
      </c>
      <c r="F836" s="923">
        <v>0</v>
      </c>
      <c r="G836" s="925">
        <v>0</v>
      </c>
    </row>
    <row r="837" spans="2:7">
      <c r="B837" s="903"/>
      <c r="C837" s="903"/>
      <c r="D837" s="923"/>
      <c r="E837" s="911"/>
      <c r="F837" s="923"/>
      <c r="G837" s="925"/>
    </row>
    <row r="838" spans="2:7">
      <c r="B838" s="903"/>
      <c r="C838" s="903"/>
      <c r="D838" s="923"/>
      <c r="E838" s="911"/>
      <c r="F838" s="923"/>
      <c r="G838" s="925"/>
    </row>
    <row r="839" spans="2:7">
      <c r="B839" s="903" t="str">
        <f>B705</f>
        <v>Strážske</v>
      </c>
      <c r="C839" s="903" t="str">
        <f>C705</f>
        <v>Stanica</v>
      </c>
      <c r="D839" s="923">
        <v>0</v>
      </c>
      <c r="E839" s="911">
        <v>0</v>
      </c>
      <c r="F839" s="466">
        <v>0</v>
      </c>
      <c r="G839" s="467" t="s">
        <v>350</v>
      </c>
    </row>
    <row r="840" spans="2:7">
      <c r="B840" s="903"/>
      <c r="C840" s="903"/>
      <c r="D840" s="923"/>
      <c r="E840" s="911"/>
      <c r="F840" s="466">
        <v>0</v>
      </c>
      <c r="G840" s="467" t="s">
        <v>351</v>
      </c>
    </row>
    <row r="841" spans="2:7">
      <c r="B841" s="903"/>
      <c r="C841" s="903"/>
      <c r="D841" s="923"/>
      <c r="E841" s="911"/>
      <c r="F841" s="466">
        <v>0</v>
      </c>
      <c r="G841" s="467" t="s">
        <v>352</v>
      </c>
    </row>
    <row r="842" spans="2:7">
      <c r="B842" s="903" t="str">
        <f>B706</f>
        <v>Kapušany pri Prešove/mimo/ - Fulianka/mimo/</v>
      </c>
      <c r="C842" s="903" t="str">
        <f>C706</f>
        <v>Medzistaničný úsek</v>
      </c>
      <c r="D842" s="923">
        <v>0</v>
      </c>
      <c r="E842" s="911">
        <v>0</v>
      </c>
      <c r="F842" s="911">
        <v>0</v>
      </c>
      <c r="G842" s="924">
        <v>0</v>
      </c>
    </row>
    <row r="843" spans="2:7">
      <c r="B843" s="903"/>
      <c r="C843" s="903"/>
      <c r="D843" s="923"/>
      <c r="E843" s="911"/>
      <c r="F843" s="911"/>
      <c r="G843" s="924"/>
    </row>
    <row r="844" spans="2:7">
      <c r="B844" s="903"/>
      <c r="C844" s="903"/>
      <c r="D844" s="923"/>
      <c r="E844" s="911"/>
      <c r="F844" s="911"/>
      <c r="G844" s="924"/>
    </row>
    <row r="845" spans="2:7">
      <c r="B845" s="903" t="str">
        <f>B707</f>
        <v>Fulianka</v>
      </c>
      <c r="C845" s="903" t="str">
        <f>C707</f>
        <v>Stanica</v>
      </c>
      <c r="D845" s="923">
        <v>0</v>
      </c>
      <c r="E845" s="911">
        <v>0</v>
      </c>
      <c r="F845" s="911">
        <v>0</v>
      </c>
      <c r="G845" s="911">
        <v>0</v>
      </c>
    </row>
    <row r="846" spans="2:7">
      <c r="B846" s="903"/>
      <c r="C846" s="903"/>
      <c r="D846" s="923"/>
      <c r="E846" s="911"/>
      <c r="F846" s="911"/>
      <c r="G846" s="911"/>
    </row>
    <row r="847" spans="2:7">
      <c r="B847" s="903"/>
      <c r="C847" s="903"/>
      <c r="D847" s="923"/>
      <c r="E847" s="911"/>
      <c r="F847" s="911"/>
      <c r="G847" s="911"/>
    </row>
    <row r="848" spans="2:7">
      <c r="B848" s="903" t="str">
        <f>B708</f>
        <v>Fulianka/mimo/ - Tulčík/mimo/</v>
      </c>
      <c r="C848" s="903" t="str">
        <f>C708</f>
        <v>Medzistaničný úsek</v>
      </c>
      <c r="D848" s="923">
        <v>0</v>
      </c>
      <c r="E848" s="911">
        <v>0</v>
      </c>
      <c r="F848" s="911">
        <v>0</v>
      </c>
      <c r="G848" s="911">
        <v>0</v>
      </c>
    </row>
    <row r="849" spans="2:7">
      <c r="B849" s="903"/>
      <c r="C849" s="903"/>
      <c r="D849" s="923"/>
      <c r="E849" s="911"/>
      <c r="F849" s="911"/>
      <c r="G849" s="911"/>
    </row>
    <row r="850" spans="2:7">
      <c r="B850" s="903"/>
      <c r="C850" s="903"/>
      <c r="D850" s="923"/>
      <c r="E850" s="911"/>
      <c r="F850" s="911"/>
      <c r="G850" s="911"/>
    </row>
    <row r="851" spans="2:7">
      <c r="B851" s="903" t="str">
        <f>B709</f>
        <v>Tulčík</v>
      </c>
      <c r="C851" s="903" t="str">
        <f>C709</f>
        <v>Stanica</v>
      </c>
      <c r="D851" s="923">
        <v>0</v>
      </c>
      <c r="E851" s="911">
        <v>0</v>
      </c>
      <c r="F851" s="911">
        <v>0</v>
      </c>
      <c r="G851" s="911">
        <v>0</v>
      </c>
    </row>
    <row r="852" spans="2:7">
      <c r="B852" s="903"/>
      <c r="C852" s="903"/>
      <c r="D852" s="923"/>
      <c r="E852" s="911"/>
      <c r="F852" s="911"/>
      <c r="G852" s="911"/>
    </row>
    <row r="853" spans="2:7">
      <c r="B853" s="903"/>
      <c r="C853" s="903"/>
      <c r="D853" s="923"/>
      <c r="E853" s="911"/>
      <c r="F853" s="911"/>
      <c r="G853" s="911"/>
    </row>
    <row r="854" spans="2:7">
      <c r="B854" s="903" t="str">
        <f>B710</f>
        <v>Tulčík/mimo/ - Demjata/mimo/</v>
      </c>
      <c r="C854" s="903" t="str">
        <f>C710</f>
        <v>Medzistaničný úsek</v>
      </c>
      <c r="D854" s="923">
        <v>0</v>
      </c>
      <c r="E854" s="911">
        <v>0</v>
      </c>
      <c r="F854" s="911">
        <v>0</v>
      </c>
      <c r="G854" s="911">
        <v>0</v>
      </c>
    </row>
    <row r="855" spans="2:7">
      <c r="B855" s="903"/>
      <c r="C855" s="903"/>
      <c r="D855" s="923"/>
      <c r="E855" s="911"/>
      <c r="F855" s="911"/>
      <c r="G855" s="911"/>
    </row>
    <row r="856" spans="2:7">
      <c r="B856" s="903"/>
      <c r="C856" s="903"/>
      <c r="D856" s="923"/>
      <c r="E856" s="911"/>
      <c r="F856" s="911"/>
      <c r="G856" s="911"/>
    </row>
    <row r="857" spans="2:7">
      <c r="B857" s="903" t="str">
        <f>B711</f>
        <v>Demjata</v>
      </c>
      <c r="C857" s="903" t="str">
        <f>C711</f>
        <v>Stanica</v>
      </c>
      <c r="D857" s="923">
        <v>0</v>
      </c>
      <c r="E857" s="911">
        <v>0</v>
      </c>
      <c r="F857" s="911">
        <v>0</v>
      </c>
      <c r="G857" s="911">
        <v>0</v>
      </c>
    </row>
    <row r="858" spans="2:7">
      <c r="B858" s="903"/>
      <c r="C858" s="903"/>
      <c r="D858" s="923"/>
      <c r="E858" s="911"/>
      <c r="F858" s="911"/>
      <c r="G858" s="911"/>
    </row>
    <row r="859" spans="2:7">
      <c r="B859" s="903"/>
      <c r="C859" s="903"/>
      <c r="D859" s="923"/>
      <c r="E859" s="911"/>
      <c r="F859" s="911"/>
      <c r="G859" s="911"/>
    </row>
    <row r="860" spans="2:7">
      <c r="B860" s="903" t="str">
        <f>B712</f>
        <v>Demjata/mimo/ - Demjata obec/mimo/</v>
      </c>
      <c r="C860" s="903" t="str">
        <f>C712</f>
        <v>Medzistaničný úsek</v>
      </c>
      <c r="D860" s="923">
        <v>0</v>
      </c>
      <c r="E860" s="911">
        <v>0</v>
      </c>
      <c r="F860" s="911">
        <v>0</v>
      </c>
      <c r="G860" s="911">
        <v>0</v>
      </c>
    </row>
    <row r="861" spans="2:7">
      <c r="B861" s="903"/>
      <c r="C861" s="903"/>
      <c r="D861" s="923"/>
      <c r="E861" s="911"/>
      <c r="F861" s="911"/>
      <c r="G861" s="911"/>
    </row>
    <row r="862" spans="2:7">
      <c r="B862" s="903"/>
      <c r="C862" s="903"/>
      <c r="D862" s="923"/>
      <c r="E862" s="911"/>
      <c r="F862" s="911"/>
      <c r="G862" s="911"/>
    </row>
    <row r="863" spans="2:7">
      <c r="B863" s="903" t="str">
        <f>B713</f>
        <v>Demjata obec</v>
      </c>
      <c r="C863" s="903" t="str">
        <f>C713</f>
        <v>Stanica</v>
      </c>
      <c r="D863" s="923">
        <v>0</v>
      </c>
      <c r="E863" s="911">
        <v>0</v>
      </c>
      <c r="F863" s="911">
        <v>0</v>
      </c>
      <c r="G863" s="911">
        <v>0</v>
      </c>
    </row>
    <row r="864" spans="2:7">
      <c r="B864" s="903"/>
      <c r="C864" s="903"/>
      <c r="D864" s="923"/>
      <c r="E864" s="911"/>
      <c r="F864" s="911"/>
      <c r="G864" s="911"/>
    </row>
    <row r="865" spans="2:7">
      <c r="B865" s="903"/>
      <c r="C865" s="903"/>
      <c r="D865" s="923"/>
      <c r="E865" s="911"/>
      <c r="F865" s="911"/>
      <c r="G865" s="911"/>
    </row>
    <row r="866" spans="2:7">
      <c r="B866" s="903" t="str">
        <f>B714</f>
        <v>Demjata obec/mimo/ - Raslavice/mimo/</v>
      </c>
      <c r="C866" s="903" t="str">
        <f>C714</f>
        <v>Medzistaničný úsek</v>
      </c>
      <c r="D866" s="923">
        <v>0</v>
      </c>
      <c r="E866" s="911">
        <v>0</v>
      </c>
      <c r="F866" s="911">
        <v>0</v>
      </c>
      <c r="G866" s="911">
        <v>0</v>
      </c>
    </row>
    <row r="867" spans="2:7">
      <c r="B867" s="903"/>
      <c r="C867" s="903"/>
      <c r="D867" s="923"/>
      <c r="E867" s="911"/>
      <c r="F867" s="911"/>
      <c r="G867" s="911"/>
    </row>
    <row r="868" spans="2:7">
      <c r="B868" s="903"/>
      <c r="C868" s="903"/>
      <c r="D868" s="923"/>
      <c r="E868" s="911"/>
      <c r="F868" s="911"/>
      <c r="G868" s="911"/>
    </row>
    <row r="869" spans="2:7">
      <c r="B869" s="903" t="str">
        <f>B715</f>
        <v>Raslavice</v>
      </c>
      <c r="C869" s="903" t="str">
        <f>C715</f>
        <v>Stanica</v>
      </c>
      <c r="D869" s="923">
        <v>1</v>
      </c>
      <c r="E869" s="911" t="s">
        <v>348</v>
      </c>
      <c r="F869" s="387">
        <v>6</v>
      </c>
      <c r="G869" s="467" t="str">
        <f>G839</f>
        <v>Ručne prestavované výmeny</v>
      </c>
    </row>
    <row r="870" spans="2:7">
      <c r="B870" s="903"/>
      <c r="C870" s="903"/>
      <c r="D870" s="923"/>
      <c r="E870" s="911"/>
      <c r="F870" s="387">
        <v>0</v>
      </c>
      <c r="G870" s="467" t="str">
        <f t="shared" ref="G870:G871" si="124">G840</f>
        <v>Ústredne prestavované výmeny</v>
      </c>
    </row>
    <row r="871" spans="2:7">
      <c r="B871" s="903"/>
      <c r="C871" s="903"/>
      <c r="D871" s="923"/>
      <c r="E871" s="911"/>
      <c r="F871" s="387">
        <v>0</v>
      </c>
      <c r="G871" s="467" t="str">
        <f t="shared" si="124"/>
        <v>Elektronické stavadlo a reléové (vrátane DOZZ)</v>
      </c>
    </row>
    <row r="875" spans="2:7">
      <c r="B875" s="904" t="s">
        <v>361</v>
      </c>
      <c r="C875" s="904"/>
      <c r="D875" s="904"/>
    </row>
    <row r="876" spans="2:7">
      <c r="B876" s="396" t="s">
        <v>353</v>
      </c>
      <c r="C876" s="470" t="s">
        <v>725</v>
      </c>
      <c r="D876" s="396" t="s">
        <v>354</v>
      </c>
    </row>
    <row r="877" spans="2:7">
      <c r="B877" s="449">
        <f>Parametre!B95</f>
        <v>2643.9605881890584</v>
      </c>
      <c r="C877" s="449">
        <f>Parametre!C95</f>
        <v>5591.839685035271</v>
      </c>
      <c r="D877" s="449">
        <f>Parametre!D95</f>
        <v>8513.6313562456762</v>
      </c>
    </row>
    <row r="878" spans="2:7">
      <c r="B878" s="399" t="s">
        <v>726</v>
      </c>
      <c r="C878" s="331"/>
      <c r="D878" s="331"/>
    </row>
    <row r="879" spans="2:7" ht="15.75" thickBot="1"/>
    <row r="880" spans="2:7" ht="39.75" customHeight="1">
      <c r="C880" s="907" t="s">
        <v>599</v>
      </c>
      <c r="D880" s="909" t="s">
        <v>840</v>
      </c>
      <c r="E880" s="910"/>
      <c r="F880" s="909" t="s">
        <v>841</v>
      </c>
      <c r="G880" s="910"/>
    </row>
    <row r="881" spans="2:7" ht="15.75" thickBot="1">
      <c r="C881" s="908"/>
      <c r="D881" s="450" t="s">
        <v>671</v>
      </c>
      <c r="E881" s="401" t="s">
        <v>672</v>
      </c>
      <c r="F881" s="450" t="s">
        <v>671</v>
      </c>
      <c r="G881" s="401" t="s">
        <v>672</v>
      </c>
    </row>
    <row r="882" spans="2:7">
      <c r="B882" s="402" t="s">
        <v>727</v>
      </c>
      <c r="C882" s="461">
        <f>SUMIFS(E887:E1021,D887:D1021,B876)</f>
        <v>0</v>
      </c>
      <c r="D882" s="471">
        <v>0</v>
      </c>
      <c r="E882" s="472">
        <v>0</v>
      </c>
      <c r="F882" s="471">
        <v>0</v>
      </c>
      <c r="G882" s="472">
        <v>0</v>
      </c>
    </row>
    <row r="883" spans="2:7">
      <c r="B883" s="407" t="s">
        <v>728</v>
      </c>
      <c r="C883" s="462">
        <f>SUMIFS(E887:E1021,D887:D1021,C876)</f>
        <v>4</v>
      </c>
      <c r="D883" s="473">
        <f>C883-E883</f>
        <v>3</v>
      </c>
      <c r="E883" s="474">
        <f>1</f>
        <v>1</v>
      </c>
      <c r="F883" s="473">
        <f>C883-G883</f>
        <v>3</v>
      </c>
      <c r="G883" s="474">
        <f>1</f>
        <v>1</v>
      </c>
    </row>
    <row r="884" spans="2:7" ht="15.75" thickBot="1">
      <c r="B884" s="410" t="s">
        <v>729</v>
      </c>
      <c r="C884" s="463">
        <f>SUMIFS(E887:E1021,D887:D1021,D876)</f>
        <v>6</v>
      </c>
      <c r="D884" s="475">
        <f>1+1+2+2</f>
        <v>6</v>
      </c>
      <c r="E884" s="464">
        <v>0</v>
      </c>
      <c r="F884" s="475">
        <f>1+1</f>
        <v>2</v>
      </c>
      <c r="G884" s="464">
        <f>4</f>
        <v>4</v>
      </c>
    </row>
    <row r="886" spans="2:7" ht="37.5" customHeight="1">
      <c r="D886" s="371" t="s">
        <v>730</v>
      </c>
      <c r="E886" s="371" t="s">
        <v>731</v>
      </c>
    </row>
    <row r="887" spans="2:7">
      <c r="B887" s="903" t="str">
        <f>B737</f>
        <v>Prešov</v>
      </c>
      <c r="C887" s="903" t="str">
        <f>C737</f>
        <v>Stanica</v>
      </c>
      <c r="D887" s="387">
        <v>0</v>
      </c>
      <c r="E887" s="387">
        <v>0</v>
      </c>
    </row>
    <row r="888" spans="2:7">
      <c r="B888" s="903"/>
      <c r="C888" s="903"/>
      <c r="D888" s="387">
        <v>0</v>
      </c>
      <c r="E888" s="387">
        <v>0</v>
      </c>
      <c r="F888" s="447"/>
    </row>
    <row r="889" spans="2:7">
      <c r="B889" s="903"/>
      <c r="C889" s="903"/>
      <c r="D889" s="387">
        <v>0</v>
      </c>
      <c r="E889" s="387">
        <v>0</v>
      </c>
      <c r="F889" s="623"/>
      <c r="G889" s="447"/>
    </row>
    <row r="890" spans="2:7">
      <c r="B890" s="903" t="str">
        <f>B740</f>
        <v xml:space="preserve">Prešov/mimo/ - Šarišské Lúky/mimo/ </v>
      </c>
      <c r="C890" s="903" t="str">
        <f>C740</f>
        <v>Medzistaničný úsek</v>
      </c>
      <c r="D890" s="387" t="s">
        <v>353</v>
      </c>
      <c r="E890" s="387">
        <v>0</v>
      </c>
    </row>
    <row r="891" spans="2:7">
      <c r="B891" s="903"/>
      <c r="C891" s="903"/>
      <c r="D891" s="387" t="s">
        <v>725</v>
      </c>
      <c r="E891" s="387">
        <v>0</v>
      </c>
      <c r="F891" s="623"/>
    </row>
    <row r="892" spans="2:7">
      <c r="B892" s="903"/>
      <c r="C892" s="903"/>
      <c r="D892" s="387" t="s">
        <v>354</v>
      </c>
      <c r="E892" s="387">
        <v>1</v>
      </c>
    </row>
    <row r="893" spans="2:7">
      <c r="B893" s="903" t="str">
        <f>B743</f>
        <v>Šarišské Lúky</v>
      </c>
      <c r="C893" s="903" t="str">
        <f>C743</f>
        <v>Stanica</v>
      </c>
      <c r="D893" s="387">
        <v>0</v>
      </c>
      <c r="E893" s="387">
        <v>0</v>
      </c>
    </row>
    <row r="894" spans="2:7">
      <c r="B894" s="903"/>
      <c r="C894" s="903"/>
      <c r="D894" s="387">
        <v>0</v>
      </c>
      <c r="E894" s="387">
        <v>0</v>
      </c>
    </row>
    <row r="895" spans="2:7">
      <c r="B895" s="903"/>
      <c r="C895" s="903"/>
      <c r="D895" s="387">
        <v>0</v>
      </c>
      <c r="E895" s="387">
        <v>0</v>
      </c>
    </row>
    <row r="896" spans="2:7">
      <c r="B896" s="903" t="str">
        <f>B746</f>
        <v xml:space="preserve">Šarišské Lúky/mimo/  - Kapušany pri Prešove/mimo/ </v>
      </c>
      <c r="C896" s="903" t="str">
        <f>C746</f>
        <v>Medzistaničný úsek</v>
      </c>
      <c r="D896" s="387" t="s">
        <v>353</v>
      </c>
      <c r="E896" s="387">
        <v>0</v>
      </c>
    </row>
    <row r="897" spans="2:5">
      <c r="B897" s="903"/>
      <c r="C897" s="903"/>
      <c r="D897" s="387" t="s">
        <v>725</v>
      </c>
      <c r="E897" s="387">
        <v>0</v>
      </c>
    </row>
    <row r="898" spans="2:5">
      <c r="B898" s="903"/>
      <c r="C898" s="903"/>
      <c r="D898" s="387" t="s">
        <v>354</v>
      </c>
      <c r="E898" s="387">
        <v>1</v>
      </c>
    </row>
    <row r="899" spans="2:5">
      <c r="B899" s="903" t="str">
        <f>B749</f>
        <v>Kapušany pri Prešove</v>
      </c>
      <c r="C899" s="903" t="str">
        <f>C749</f>
        <v>Stanica</v>
      </c>
      <c r="D899" s="387">
        <v>0</v>
      </c>
      <c r="E899" s="387">
        <v>0</v>
      </c>
    </row>
    <row r="900" spans="2:5">
      <c r="B900" s="903"/>
      <c r="C900" s="903"/>
      <c r="D900" s="387">
        <v>0</v>
      </c>
      <c r="E900" s="387">
        <v>0</v>
      </c>
    </row>
    <row r="901" spans="2:5">
      <c r="B901" s="903"/>
      <c r="C901" s="903"/>
      <c r="D901" s="387">
        <v>0</v>
      </c>
      <c r="E901" s="387">
        <v>0</v>
      </c>
    </row>
    <row r="902" spans="2:5">
      <c r="B902" s="903" t="str">
        <f>B752</f>
        <v>Kapušany pri Prešove/mimo/  - Lada</v>
      </c>
      <c r="C902" s="903" t="str">
        <f>C752</f>
        <v>Medzistaničný úsek</v>
      </c>
      <c r="D902" s="387" t="s">
        <v>353</v>
      </c>
      <c r="E902" s="387">
        <v>0</v>
      </c>
    </row>
    <row r="903" spans="2:5">
      <c r="B903" s="903"/>
      <c r="C903" s="903"/>
      <c r="D903" s="387" t="s">
        <v>725</v>
      </c>
      <c r="E903" s="387">
        <v>0</v>
      </c>
    </row>
    <row r="904" spans="2:5">
      <c r="B904" s="903"/>
      <c r="C904" s="903"/>
      <c r="D904" s="387" t="s">
        <v>354</v>
      </c>
      <c r="E904" s="387">
        <v>1</v>
      </c>
    </row>
    <row r="905" spans="2:5">
      <c r="B905" s="903" t="str">
        <f>B755</f>
        <v>Lada</v>
      </c>
      <c r="C905" s="903" t="str">
        <f>C755</f>
        <v>Stanica</v>
      </c>
      <c r="D905" s="387">
        <v>0</v>
      </c>
      <c r="E905" s="387">
        <v>0</v>
      </c>
    </row>
    <row r="906" spans="2:5">
      <c r="B906" s="903"/>
      <c r="C906" s="903"/>
      <c r="D906" s="387">
        <v>0</v>
      </c>
      <c r="E906" s="387">
        <v>0</v>
      </c>
    </row>
    <row r="907" spans="2:5">
      <c r="B907" s="903"/>
      <c r="C907" s="903"/>
      <c r="D907" s="387">
        <v>0</v>
      </c>
      <c r="E907" s="387">
        <v>0</v>
      </c>
    </row>
    <row r="908" spans="2:5">
      <c r="B908" s="903" t="str">
        <f>B758</f>
        <v xml:space="preserve">Lada  - Lipníky/mimo/ </v>
      </c>
      <c r="C908" s="903" t="str">
        <f>C758</f>
        <v>Medzistaničný úsek</v>
      </c>
      <c r="D908" s="387" t="s">
        <v>353</v>
      </c>
      <c r="E908" s="387">
        <v>0</v>
      </c>
    </row>
    <row r="909" spans="2:5">
      <c r="B909" s="903"/>
      <c r="C909" s="903"/>
      <c r="D909" s="387" t="s">
        <v>725</v>
      </c>
      <c r="E909" s="387">
        <v>0</v>
      </c>
    </row>
    <row r="910" spans="2:5">
      <c r="B910" s="903"/>
      <c r="C910" s="903"/>
      <c r="D910" s="387" t="s">
        <v>354</v>
      </c>
      <c r="E910" s="387">
        <v>0</v>
      </c>
    </row>
    <row r="911" spans="2:5">
      <c r="B911" s="903" t="str">
        <f>B761</f>
        <v>Lipníky</v>
      </c>
      <c r="C911" s="903" t="str">
        <f>C761</f>
        <v>Stanica</v>
      </c>
      <c r="D911" s="387">
        <v>0</v>
      </c>
      <c r="E911" s="387">
        <v>0</v>
      </c>
    </row>
    <row r="912" spans="2:5">
      <c r="B912" s="903"/>
      <c r="C912" s="903"/>
      <c r="D912" s="387">
        <v>0</v>
      </c>
      <c r="E912" s="387">
        <v>0</v>
      </c>
    </row>
    <row r="913" spans="2:5">
      <c r="B913" s="903"/>
      <c r="C913" s="903"/>
      <c r="D913" s="387">
        <v>0</v>
      </c>
      <c r="E913" s="387">
        <v>0</v>
      </c>
    </row>
    <row r="914" spans="2:5">
      <c r="B914" s="903" t="str">
        <f>B764</f>
        <v>Lipníky/mimo/  - Pavlovce</v>
      </c>
      <c r="C914" s="903" t="str">
        <f>C764</f>
        <v>Medzistaničný úsek</v>
      </c>
      <c r="D914" s="387" t="s">
        <v>353</v>
      </c>
      <c r="E914" s="387">
        <v>0</v>
      </c>
    </row>
    <row r="915" spans="2:5">
      <c r="B915" s="903"/>
      <c r="C915" s="903"/>
      <c r="D915" s="387" t="s">
        <v>725</v>
      </c>
      <c r="E915" s="387">
        <v>0</v>
      </c>
    </row>
    <row r="916" spans="2:5">
      <c r="B916" s="903"/>
      <c r="C916" s="903"/>
      <c r="D916" s="387" t="s">
        <v>354</v>
      </c>
      <c r="E916" s="387">
        <v>0</v>
      </c>
    </row>
    <row r="917" spans="2:5">
      <c r="B917" s="903" t="str">
        <f>B767</f>
        <v>Pavlovce</v>
      </c>
      <c r="C917" s="903" t="str">
        <f>C767</f>
        <v>Stanica</v>
      </c>
      <c r="D917" s="387">
        <v>0</v>
      </c>
      <c r="E917" s="387">
        <v>0</v>
      </c>
    </row>
    <row r="918" spans="2:5">
      <c r="B918" s="903"/>
      <c r="C918" s="903"/>
      <c r="D918" s="387">
        <v>0</v>
      </c>
      <c r="E918" s="387">
        <v>0</v>
      </c>
    </row>
    <row r="919" spans="2:5">
      <c r="B919" s="903"/>
      <c r="C919" s="903"/>
      <c r="D919" s="387">
        <v>0</v>
      </c>
      <c r="E919" s="387">
        <v>0</v>
      </c>
    </row>
    <row r="920" spans="2:5">
      <c r="B920" s="903" t="str">
        <f>B770</f>
        <v>Pavlovce  - Hanušovce nad Topľou mesto</v>
      </c>
      <c r="C920" s="903" t="str">
        <f>C770</f>
        <v>Medzistaničný úsek</v>
      </c>
      <c r="D920" s="387" t="s">
        <v>353</v>
      </c>
      <c r="E920" s="387">
        <v>0</v>
      </c>
    </row>
    <row r="921" spans="2:5">
      <c r="B921" s="903"/>
      <c r="C921" s="903"/>
      <c r="D921" s="387" t="s">
        <v>725</v>
      </c>
      <c r="E921" s="387">
        <v>0</v>
      </c>
    </row>
    <row r="922" spans="2:5">
      <c r="B922" s="903"/>
      <c r="C922" s="903"/>
      <c r="D922" s="387" t="s">
        <v>354</v>
      </c>
      <c r="E922" s="387">
        <v>0</v>
      </c>
    </row>
    <row r="923" spans="2:5">
      <c r="B923" s="903" t="str">
        <f>B773</f>
        <v>Hanušovce nad Topľou mesto</v>
      </c>
      <c r="C923" s="903" t="str">
        <f>C773</f>
        <v>Stanica</v>
      </c>
      <c r="D923" s="387">
        <v>0</v>
      </c>
      <c r="E923" s="387">
        <v>0</v>
      </c>
    </row>
    <row r="924" spans="2:5">
      <c r="B924" s="903"/>
      <c r="C924" s="903"/>
      <c r="D924" s="387">
        <v>0</v>
      </c>
      <c r="E924" s="387">
        <v>0</v>
      </c>
    </row>
    <row r="925" spans="2:5">
      <c r="B925" s="903"/>
      <c r="C925" s="903"/>
      <c r="D925" s="387">
        <v>0</v>
      </c>
      <c r="E925" s="387">
        <v>0</v>
      </c>
    </row>
    <row r="926" spans="2:5">
      <c r="B926" s="903" t="str">
        <f>B776</f>
        <v xml:space="preserve">Hanušovce nad Topľou mesto  - Hanušovce nad Topľou/mimo/ </v>
      </c>
      <c r="C926" s="903" t="str">
        <f>C776</f>
        <v>Medzistaničný úsek</v>
      </c>
      <c r="D926" s="387" t="s">
        <v>353</v>
      </c>
      <c r="E926" s="387">
        <v>0</v>
      </c>
    </row>
    <row r="927" spans="2:5">
      <c r="B927" s="903"/>
      <c r="C927" s="903"/>
      <c r="D927" s="387" t="s">
        <v>725</v>
      </c>
      <c r="E927" s="387">
        <v>0</v>
      </c>
    </row>
    <row r="928" spans="2:5">
      <c r="B928" s="903"/>
      <c r="C928" s="903"/>
      <c r="D928" s="387" t="s">
        <v>354</v>
      </c>
      <c r="E928" s="387">
        <v>0</v>
      </c>
    </row>
    <row r="929" spans="2:5">
      <c r="B929" s="903" t="str">
        <f>B779</f>
        <v>Hanušovce nad Topľou</v>
      </c>
      <c r="C929" s="903" t="str">
        <f>C779</f>
        <v>Stanica</v>
      </c>
      <c r="D929" s="387">
        <v>0</v>
      </c>
      <c r="E929" s="387">
        <v>0</v>
      </c>
    </row>
    <row r="930" spans="2:5">
      <c r="B930" s="903"/>
      <c r="C930" s="903"/>
      <c r="D930" s="387">
        <v>0</v>
      </c>
      <c r="E930" s="387">
        <v>0</v>
      </c>
    </row>
    <row r="931" spans="2:5">
      <c r="B931" s="903"/>
      <c r="C931" s="903"/>
      <c r="D931" s="387">
        <v>0</v>
      </c>
      <c r="E931" s="387">
        <v>0</v>
      </c>
    </row>
    <row r="932" spans="2:5">
      <c r="B932" s="903" t="str">
        <f>B782</f>
        <v>Hanušovce nad Topľou/mimo/  - Bystré</v>
      </c>
      <c r="C932" s="903" t="str">
        <f>C782</f>
        <v>Medzistaničný úsek</v>
      </c>
      <c r="D932" s="387" t="s">
        <v>353</v>
      </c>
      <c r="E932" s="387">
        <v>0</v>
      </c>
    </row>
    <row r="933" spans="2:5">
      <c r="B933" s="903"/>
      <c r="C933" s="903"/>
      <c r="D933" s="387" t="s">
        <v>725</v>
      </c>
      <c r="E933" s="387">
        <v>0</v>
      </c>
    </row>
    <row r="934" spans="2:5">
      <c r="B934" s="903"/>
      <c r="C934" s="903"/>
      <c r="D934" s="387" t="s">
        <v>354</v>
      </c>
      <c r="E934" s="387">
        <v>0</v>
      </c>
    </row>
    <row r="935" spans="2:5">
      <c r="B935" s="903" t="str">
        <f>B785</f>
        <v>Bystré</v>
      </c>
      <c r="C935" s="903" t="str">
        <f>C785</f>
        <v>Stanica</v>
      </c>
      <c r="D935" s="387">
        <v>0</v>
      </c>
      <c r="E935" s="387">
        <v>0</v>
      </c>
    </row>
    <row r="936" spans="2:5">
      <c r="B936" s="903"/>
      <c r="C936" s="903"/>
      <c r="D936" s="387">
        <v>0</v>
      </c>
      <c r="E936" s="387">
        <v>0</v>
      </c>
    </row>
    <row r="937" spans="2:5">
      <c r="B937" s="903"/>
      <c r="C937" s="903"/>
      <c r="D937" s="387">
        <v>0</v>
      </c>
      <c r="E937" s="387">
        <v>0</v>
      </c>
    </row>
    <row r="938" spans="2:5">
      <c r="B938" s="903" t="str">
        <f>B788</f>
        <v xml:space="preserve">Bystré  - Čierne nad Topľou/mimo/ </v>
      </c>
      <c r="C938" s="903" t="str">
        <f>C788</f>
        <v>Medzistaničný úsek</v>
      </c>
      <c r="D938" s="387" t="s">
        <v>353</v>
      </c>
      <c r="E938" s="387">
        <v>0</v>
      </c>
    </row>
    <row r="939" spans="2:5">
      <c r="B939" s="903"/>
      <c r="C939" s="903"/>
      <c r="D939" s="387" t="s">
        <v>725</v>
      </c>
      <c r="E939" s="387">
        <v>1</v>
      </c>
    </row>
    <row r="940" spans="2:5">
      <c r="B940" s="903"/>
      <c r="C940" s="903"/>
      <c r="D940" s="387" t="s">
        <v>354</v>
      </c>
      <c r="E940" s="387">
        <v>0</v>
      </c>
    </row>
    <row r="941" spans="2:5">
      <c r="B941" s="903" t="str">
        <f>B791</f>
        <v>Čierne nad Topľou</v>
      </c>
      <c r="C941" s="903" t="str">
        <f>C791</f>
        <v>Stanica</v>
      </c>
      <c r="D941" s="387">
        <v>0</v>
      </c>
      <c r="E941" s="387">
        <v>0</v>
      </c>
    </row>
    <row r="942" spans="2:5">
      <c r="B942" s="903"/>
      <c r="C942" s="903"/>
      <c r="D942" s="387">
        <v>0</v>
      </c>
      <c r="E942" s="387">
        <v>0</v>
      </c>
    </row>
    <row r="943" spans="2:5">
      <c r="B943" s="903"/>
      <c r="C943" s="903"/>
      <c r="D943" s="387">
        <v>0</v>
      </c>
      <c r="E943" s="387">
        <v>0</v>
      </c>
    </row>
    <row r="944" spans="2:5">
      <c r="B944" s="903" t="str">
        <f>B794</f>
        <v>Čierne nad Topľou/mimo/  - Hlinné</v>
      </c>
      <c r="C944" s="903" t="str">
        <f>C794</f>
        <v>Medzistaničný úsek</v>
      </c>
      <c r="D944" s="387" t="s">
        <v>353</v>
      </c>
      <c r="E944" s="387">
        <v>0</v>
      </c>
    </row>
    <row r="945" spans="2:5">
      <c r="B945" s="903"/>
      <c r="C945" s="903"/>
      <c r="D945" s="387" t="s">
        <v>725</v>
      </c>
      <c r="E945" s="387">
        <v>0</v>
      </c>
    </row>
    <row r="946" spans="2:5">
      <c r="B946" s="903"/>
      <c r="C946" s="903"/>
      <c r="D946" s="387" t="s">
        <v>354</v>
      </c>
      <c r="E946" s="387">
        <v>0</v>
      </c>
    </row>
    <row r="947" spans="2:5">
      <c r="B947" s="903" t="str">
        <f>B797</f>
        <v>Hlinné</v>
      </c>
      <c r="C947" s="903" t="str">
        <f>C797</f>
        <v>Stanica</v>
      </c>
      <c r="D947" s="387">
        <v>0</v>
      </c>
      <c r="E947" s="387">
        <v>0</v>
      </c>
    </row>
    <row r="948" spans="2:5">
      <c r="B948" s="903"/>
      <c r="C948" s="903"/>
      <c r="D948" s="387">
        <v>0</v>
      </c>
      <c r="E948" s="387">
        <v>0</v>
      </c>
    </row>
    <row r="949" spans="2:5">
      <c r="B949" s="903"/>
      <c r="C949" s="903"/>
      <c r="D949" s="387">
        <v>0</v>
      </c>
      <c r="E949" s="387">
        <v>0</v>
      </c>
    </row>
    <row r="950" spans="2:5">
      <c r="B950" s="903" t="str">
        <f>B800</f>
        <v>Hlinné - Soľ</v>
      </c>
      <c r="C950" s="903" t="str">
        <f>C800</f>
        <v>Medzistaničný úsek</v>
      </c>
      <c r="D950" s="387" t="s">
        <v>353</v>
      </c>
      <c r="E950" s="387">
        <v>0</v>
      </c>
    </row>
    <row r="951" spans="2:5">
      <c r="B951" s="903"/>
      <c r="C951" s="903"/>
      <c r="D951" s="387" t="s">
        <v>725</v>
      </c>
      <c r="E951" s="387">
        <v>0</v>
      </c>
    </row>
    <row r="952" spans="2:5">
      <c r="B952" s="903"/>
      <c r="C952" s="903"/>
      <c r="D952" s="387" t="s">
        <v>354</v>
      </c>
      <c r="E952" s="387">
        <v>0</v>
      </c>
    </row>
    <row r="953" spans="2:5">
      <c r="B953" s="903" t="str">
        <f>B803</f>
        <v>Soľ</v>
      </c>
      <c r="C953" s="903" t="str">
        <f>C803</f>
        <v>Stanica</v>
      </c>
      <c r="D953" s="387">
        <v>0</v>
      </c>
      <c r="E953" s="387">
        <v>0</v>
      </c>
    </row>
    <row r="954" spans="2:5">
      <c r="B954" s="903"/>
      <c r="C954" s="903"/>
      <c r="D954" s="387">
        <v>0</v>
      </c>
      <c r="E954" s="387">
        <v>0</v>
      </c>
    </row>
    <row r="955" spans="2:5">
      <c r="B955" s="903"/>
      <c r="C955" s="903"/>
      <c r="D955" s="387">
        <v>0</v>
      </c>
      <c r="E955" s="387">
        <v>0</v>
      </c>
    </row>
    <row r="956" spans="2:5">
      <c r="B956" s="903" t="str">
        <f>B806</f>
        <v xml:space="preserve">Soľ  - Komárany </v>
      </c>
      <c r="C956" s="903" t="str">
        <f>C806</f>
        <v>Medzistaničný úsek</v>
      </c>
      <c r="D956" s="387" t="s">
        <v>353</v>
      </c>
      <c r="E956" s="387">
        <v>0</v>
      </c>
    </row>
    <row r="957" spans="2:5">
      <c r="B957" s="903"/>
      <c r="C957" s="903"/>
      <c r="D957" s="387" t="s">
        <v>725</v>
      </c>
      <c r="E957" s="387">
        <v>0</v>
      </c>
    </row>
    <row r="958" spans="2:5">
      <c r="B958" s="903"/>
      <c r="C958" s="903"/>
      <c r="D958" s="387" t="s">
        <v>354</v>
      </c>
      <c r="E958" s="387">
        <v>0</v>
      </c>
    </row>
    <row r="959" spans="2:5">
      <c r="B959" s="903" t="str">
        <f>B809</f>
        <v>Komárany</v>
      </c>
      <c r="C959" s="903" t="str">
        <f>C809</f>
        <v>Stanica</v>
      </c>
      <c r="D959" s="387">
        <v>0</v>
      </c>
      <c r="E959" s="387">
        <v>0</v>
      </c>
    </row>
    <row r="960" spans="2:5">
      <c r="B960" s="903"/>
      <c r="C960" s="903"/>
      <c r="D960" s="387">
        <v>0</v>
      </c>
      <c r="E960" s="387">
        <v>0</v>
      </c>
    </row>
    <row r="961" spans="2:5">
      <c r="B961" s="903"/>
      <c r="C961" s="903"/>
      <c r="D961" s="387">
        <v>0</v>
      </c>
      <c r="E961" s="387">
        <v>0</v>
      </c>
    </row>
    <row r="962" spans="2:5">
      <c r="B962" s="903" t="str">
        <f>B812</f>
        <v xml:space="preserve">Komárany  - Vranov nad Topľou/mimo/ </v>
      </c>
      <c r="C962" s="903" t="str">
        <f>C812</f>
        <v>Medzistaničný úsek</v>
      </c>
      <c r="D962" s="387" t="s">
        <v>353</v>
      </c>
      <c r="E962" s="387">
        <v>0</v>
      </c>
    </row>
    <row r="963" spans="2:5">
      <c r="B963" s="903"/>
      <c r="C963" s="903"/>
      <c r="D963" s="387" t="s">
        <v>725</v>
      </c>
      <c r="E963" s="387">
        <v>0</v>
      </c>
    </row>
    <row r="964" spans="2:5">
      <c r="B964" s="903"/>
      <c r="C964" s="903"/>
      <c r="D964" s="387" t="s">
        <v>354</v>
      </c>
      <c r="E964" s="387">
        <v>0</v>
      </c>
    </row>
    <row r="965" spans="2:5">
      <c r="B965" s="903" t="str">
        <f>B815</f>
        <v>Vranov nad Topľou</v>
      </c>
      <c r="C965" s="903" t="str">
        <f>C815</f>
        <v>Stanica</v>
      </c>
      <c r="D965" s="387">
        <v>0</v>
      </c>
      <c r="E965" s="387">
        <v>0</v>
      </c>
    </row>
    <row r="966" spans="2:5">
      <c r="B966" s="903"/>
      <c r="C966" s="903"/>
      <c r="D966" s="387">
        <v>0</v>
      </c>
      <c r="E966" s="387">
        <v>0</v>
      </c>
    </row>
    <row r="967" spans="2:5">
      <c r="B967" s="903"/>
      <c r="C967" s="903"/>
      <c r="D967" s="387">
        <v>0</v>
      </c>
      <c r="E967" s="387">
        <v>0</v>
      </c>
    </row>
    <row r="968" spans="2:5">
      <c r="B968" s="903" t="str">
        <f>B818</f>
        <v>Vranov nad Topľou/mimo/  - Vranovské Dlhé</v>
      </c>
      <c r="C968" s="903" t="str">
        <f>C818</f>
        <v>Medzistaničný úsek</v>
      </c>
      <c r="D968" s="387" t="s">
        <v>353</v>
      </c>
      <c r="E968" s="387">
        <v>0</v>
      </c>
    </row>
    <row r="969" spans="2:5">
      <c r="B969" s="903"/>
      <c r="C969" s="903"/>
      <c r="D969" s="387" t="s">
        <v>725</v>
      </c>
      <c r="E969" s="387">
        <v>0</v>
      </c>
    </row>
    <row r="970" spans="2:5">
      <c r="B970" s="903"/>
      <c r="C970" s="903"/>
      <c r="D970" s="387" t="s">
        <v>354</v>
      </c>
      <c r="E970" s="387">
        <v>2</v>
      </c>
    </row>
    <row r="971" spans="2:5">
      <c r="B971" s="922" t="str">
        <f>B821</f>
        <v>Vranovské Dlhé</v>
      </c>
      <c r="C971" s="922" t="str">
        <f>C821</f>
        <v>Stanica</v>
      </c>
      <c r="D971" s="387">
        <v>0</v>
      </c>
      <c r="E971" s="387">
        <v>0</v>
      </c>
    </row>
    <row r="972" spans="2:5">
      <c r="B972" s="922"/>
      <c r="C972" s="922"/>
      <c r="D972" s="387">
        <v>0</v>
      </c>
      <c r="E972" s="387">
        <v>0</v>
      </c>
    </row>
    <row r="973" spans="2:5">
      <c r="B973" s="922"/>
      <c r="C973" s="922"/>
      <c r="D973" s="387">
        <v>0</v>
      </c>
      <c r="E973" s="387">
        <v>0</v>
      </c>
    </row>
    <row r="974" spans="2:5">
      <c r="B974" s="922" t="str">
        <f>B824</f>
        <v>Vranovské Dlhé  - Hencovce</v>
      </c>
      <c r="C974" s="922" t="str">
        <f>C824</f>
        <v>Medzistaničný úsek</v>
      </c>
      <c r="D974" s="387" t="s">
        <v>353</v>
      </c>
      <c r="E974" s="387">
        <v>0</v>
      </c>
    </row>
    <row r="975" spans="2:5">
      <c r="B975" s="922"/>
      <c r="C975" s="922"/>
      <c r="D975" s="387" t="s">
        <v>725</v>
      </c>
      <c r="E975" s="387">
        <v>0</v>
      </c>
    </row>
    <row r="976" spans="2:5">
      <c r="B976" s="922"/>
      <c r="C976" s="922"/>
      <c r="D976" s="387" t="s">
        <v>354</v>
      </c>
      <c r="E976" s="387">
        <v>0</v>
      </c>
    </row>
    <row r="977" spans="2:6">
      <c r="B977" s="922" t="str">
        <f>B827</f>
        <v>Hencovce</v>
      </c>
      <c r="C977" s="922" t="str">
        <f>C827</f>
        <v>Stanica</v>
      </c>
      <c r="D977" s="387">
        <v>0</v>
      </c>
      <c r="E977" s="387">
        <v>0</v>
      </c>
    </row>
    <row r="978" spans="2:6">
      <c r="B978" s="922"/>
      <c r="C978" s="922"/>
      <c r="D978" s="387">
        <v>0</v>
      </c>
      <c r="E978" s="387">
        <v>0</v>
      </c>
    </row>
    <row r="979" spans="2:6">
      <c r="B979" s="922"/>
      <c r="C979" s="922"/>
      <c r="D979" s="387">
        <v>0</v>
      </c>
      <c r="E979" s="387">
        <v>0</v>
      </c>
    </row>
    <row r="980" spans="2:6">
      <c r="B980" s="922" t="str">
        <f>B830</f>
        <v xml:space="preserve">Hencovce  - Nižný Hrabovec/mimo/ </v>
      </c>
      <c r="C980" s="922" t="str">
        <f>C830</f>
        <v>Medzistaničný úsek</v>
      </c>
      <c r="D980" s="387" t="s">
        <v>353</v>
      </c>
      <c r="E980" s="387">
        <v>0</v>
      </c>
    </row>
    <row r="981" spans="2:6">
      <c r="B981" s="922"/>
      <c r="C981" s="922"/>
      <c r="D981" s="387" t="s">
        <v>725</v>
      </c>
      <c r="E981" s="387">
        <v>0</v>
      </c>
    </row>
    <row r="982" spans="2:6">
      <c r="B982" s="922"/>
      <c r="C982" s="922"/>
      <c r="D982" s="387" t="s">
        <v>354</v>
      </c>
      <c r="E982" s="387">
        <v>0</v>
      </c>
    </row>
    <row r="983" spans="2:6">
      <c r="B983" s="922" t="str">
        <f>B833</f>
        <v>Nižný Hrabovec</v>
      </c>
      <c r="C983" s="922" t="str">
        <f>C833</f>
        <v>Stanica</v>
      </c>
      <c r="D983" s="387">
        <v>0</v>
      </c>
      <c r="E983" s="387">
        <v>0</v>
      </c>
    </row>
    <row r="984" spans="2:6">
      <c r="B984" s="922"/>
      <c r="C984" s="922"/>
      <c r="D984" s="387">
        <v>0</v>
      </c>
      <c r="E984" s="387">
        <v>0</v>
      </c>
    </row>
    <row r="985" spans="2:6">
      <c r="B985" s="922"/>
      <c r="C985" s="922"/>
      <c r="D985" s="387">
        <v>0</v>
      </c>
      <c r="E985" s="387">
        <v>0</v>
      </c>
    </row>
    <row r="986" spans="2:6">
      <c r="B986" s="922" t="str">
        <f>B836</f>
        <v xml:space="preserve">Nižný Hrabovec/mimo/  - Strážske/mimo/ </v>
      </c>
      <c r="C986" s="922" t="str">
        <f>C836</f>
        <v>Medzistaničný úsek</v>
      </c>
      <c r="D986" s="387" t="s">
        <v>353</v>
      </c>
      <c r="E986" s="387">
        <v>0</v>
      </c>
    </row>
    <row r="987" spans="2:6">
      <c r="B987" s="922"/>
      <c r="C987" s="922"/>
      <c r="D987" s="387" t="s">
        <v>725</v>
      </c>
      <c r="E987" s="387">
        <v>0</v>
      </c>
    </row>
    <row r="988" spans="2:6">
      <c r="B988" s="922"/>
      <c r="C988" s="922"/>
      <c r="D988" s="387" t="s">
        <v>354</v>
      </c>
      <c r="E988" s="387">
        <v>0</v>
      </c>
    </row>
    <row r="989" spans="2:6">
      <c r="B989" s="922" t="str">
        <f>B839</f>
        <v>Strážske</v>
      </c>
      <c r="C989" s="922" t="str">
        <f>C839</f>
        <v>Stanica</v>
      </c>
      <c r="D989" s="387">
        <v>0</v>
      </c>
      <c r="E989" s="387">
        <v>0</v>
      </c>
      <c r="F989" s="391"/>
    </row>
    <row r="990" spans="2:6">
      <c r="B990" s="922"/>
      <c r="C990" s="922"/>
      <c r="D990" s="387">
        <v>0</v>
      </c>
      <c r="E990" s="387">
        <v>0</v>
      </c>
      <c r="F990" s="391"/>
    </row>
    <row r="991" spans="2:6">
      <c r="B991" s="922"/>
      <c r="C991" s="922"/>
      <c r="D991" s="387">
        <v>0</v>
      </c>
      <c r="E991" s="387">
        <v>0</v>
      </c>
      <c r="F991" s="391"/>
    </row>
    <row r="992" spans="2:6">
      <c r="B992" s="903" t="str">
        <f>B842</f>
        <v>Kapušany pri Prešove/mimo/ - Fulianka/mimo/</v>
      </c>
      <c r="C992" s="903" t="str">
        <f>C842</f>
        <v>Medzistaničný úsek</v>
      </c>
      <c r="D992" s="387" t="s">
        <v>353</v>
      </c>
      <c r="E992" s="384">
        <v>0</v>
      </c>
    </row>
    <row r="993" spans="2:5">
      <c r="B993" s="903"/>
      <c r="C993" s="903"/>
      <c r="D993" s="387" t="s">
        <v>725</v>
      </c>
      <c r="E993" s="384">
        <v>0</v>
      </c>
    </row>
    <row r="994" spans="2:5">
      <c r="B994" s="903"/>
      <c r="C994" s="903"/>
      <c r="D994" s="387" t="s">
        <v>354</v>
      </c>
      <c r="E994" s="384">
        <v>0</v>
      </c>
    </row>
    <row r="995" spans="2:5">
      <c r="B995" s="903" t="str">
        <f t="shared" ref="B995:C995" si="125">B845</f>
        <v>Fulianka</v>
      </c>
      <c r="C995" s="903" t="str">
        <f t="shared" si="125"/>
        <v>Stanica</v>
      </c>
      <c r="D995" s="387">
        <v>0</v>
      </c>
      <c r="E995" s="384">
        <v>0</v>
      </c>
    </row>
    <row r="996" spans="2:5">
      <c r="B996" s="903"/>
      <c r="C996" s="903"/>
      <c r="D996" s="387">
        <v>0</v>
      </c>
      <c r="E996" s="384">
        <v>0</v>
      </c>
    </row>
    <row r="997" spans="2:5">
      <c r="B997" s="903"/>
      <c r="C997" s="903"/>
      <c r="D997" s="387">
        <v>0</v>
      </c>
      <c r="E997" s="384">
        <v>0</v>
      </c>
    </row>
    <row r="998" spans="2:5">
      <c r="B998" s="903" t="str">
        <f t="shared" ref="B998:C998" si="126">B848</f>
        <v>Fulianka/mimo/ - Tulčík/mimo/</v>
      </c>
      <c r="C998" s="903" t="str">
        <f t="shared" si="126"/>
        <v>Medzistaničný úsek</v>
      </c>
      <c r="D998" s="387" t="s">
        <v>353</v>
      </c>
      <c r="E998" s="384">
        <v>0</v>
      </c>
    </row>
    <row r="999" spans="2:5">
      <c r="B999" s="903"/>
      <c r="C999" s="903"/>
      <c r="D999" s="387" t="s">
        <v>725</v>
      </c>
      <c r="E999" s="384">
        <v>0</v>
      </c>
    </row>
    <row r="1000" spans="2:5">
      <c r="B1000" s="903"/>
      <c r="C1000" s="903"/>
      <c r="D1000" s="387" t="s">
        <v>354</v>
      </c>
      <c r="E1000" s="384">
        <v>1</v>
      </c>
    </row>
    <row r="1001" spans="2:5">
      <c r="B1001" s="903" t="str">
        <f t="shared" ref="B1001:C1001" si="127">B851</f>
        <v>Tulčík</v>
      </c>
      <c r="C1001" s="903" t="str">
        <f t="shared" si="127"/>
        <v>Stanica</v>
      </c>
      <c r="D1001" s="387">
        <v>0</v>
      </c>
      <c r="E1001" s="384">
        <v>0</v>
      </c>
    </row>
    <row r="1002" spans="2:5">
      <c r="B1002" s="903"/>
      <c r="C1002" s="903"/>
      <c r="D1002" s="387">
        <v>0</v>
      </c>
      <c r="E1002" s="384">
        <v>0</v>
      </c>
    </row>
    <row r="1003" spans="2:5">
      <c r="B1003" s="903"/>
      <c r="C1003" s="903"/>
      <c r="D1003" s="387">
        <v>0</v>
      </c>
      <c r="E1003" s="384">
        <v>0</v>
      </c>
    </row>
    <row r="1004" spans="2:5">
      <c r="B1004" s="903" t="str">
        <f t="shared" ref="B1004:C1004" si="128">B854</f>
        <v>Tulčík/mimo/ - Demjata/mimo/</v>
      </c>
      <c r="C1004" s="903" t="str">
        <f t="shared" si="128"/>
        <v>Medzistaničný úsek</v>
      </c>
      <c r="D1004" s="387" t="s">
        <v>353</v>
      </c>
      <c r="E1004" s="384">
        <v>0</v>
      </c>
    </row>
    <row r="1005" spans="2:5">
      <c r="B1005" s="903"/>
      <c r="C1005" s="903"/>
      <c r="D1005" s="387" t="s">
        <v>725</v>
      </c>
      <c r="E1005" s="384">
        <v>1</v>
      </c>
    </row>
    <row r="1006" spans="2:5">
      <c r="B1006" s="903"/>
      <c r="C1006" s="903"/>
      <c r="D1006" s="387" t="s">
        <v>354</v>
      </c>
      <c r="E1006" s="384">
        <v>0</v>
      </c>
    </row>
    <row r="1007" spans="2:5">
      <c r="B1007" s="903" t="str">
        <f t="shared" ref="B1007:C1007" si="129">B857</f>
        <v>Demjata</v>
      </c>
      <c r="C1007" s="903" t="str">
        <f t="shared" si="129"/>
        <v>Stanica</v>
      </c>
      <c r="D1007" s="387">
        <v>0</v>
      </c>
      <c r="E1007" s="384">
        <v>0</v>
      </c>
    </row>
    <row r="1008" spans="2:5">
      <c r="B1008" s="903"/>
      <c r="C1008" s="903"/>
      <c r="D1008" s="387">
        <v>0</v>
      </c>
      <c r="E1008" s="384">
        <v>0</v>
      </c>
    </row>
    <row r="1009" spans="2:5">
      <c r="B1009" s="903"/>
      <c r="C1009" s="903"/>
      <c r="D1009" s="387">
        <v>0</v>
      </c>
      <c r="E1009" s="384">
        <v>0</v>
      </c>
    </row>
    <row r="1010" spans="2:5">
      <c r="B1010" s="903" t="str">
        <f t="shared" ref="B1010:C1010" si="130">B860</f>
        <v>Demjata/mimo/ - Demjata obec/mimo/</v>
      </c>
      <c r="C1010" s="903" t="str">
        <f t="shared" si="130"/>
        <v>Medzistaničný úsek</v>
      </c>
      <c r="D1010" s="387" t="s">
        <v>353</v>
      </c>
      <c r="E1010" s="384">
        <v>0</v>
      </c>
    </row>
    <row r="1011" spans="2:5">
      <c r="B1011" s="903"/>
      <c r="C1011" s="903"/>
      <c r="D1011" s="387" t="s">
        <v>725</v>
      </c>
      <c r="E1011" s="384">
        <v>1</v>
      </c>
    </row>
    <row r="1012" spans="2:5">
      <c r="B1012" s="903"/>
      <c r="C1012" s="903"/>
      <c r="D1012" s="387" t="s">
        <v>354</v>
      </c>
      <c r="E1012" s="384">
        <v>0</v>
      </c>
    </row>
    <row r="1013" spans="2:5">
      <c r="B1013" s="903" t="str">
        <f t="shared" ref="B1013:C1013" si="131">B863</f>
        <v>Demjata obec</v>
      </c>
      <c r="C1013" s="903" t="str">
        <f t="shared" si="131"/>
        <v>Stanica</v>
      </c>
      <c r="D1013" s="387">
        <v>0</v>
      </c>
      <c r="E1013" s="384">
        <v>0</v>
      </c>
    </row>
    <row r="1014" spans="2:5">
      <c r="B1014" s="903"/>
      <c r="C1014" s="903"/>
      <c r="D1014" s="387">
        <v>0</v>
      </c>
      <c r="E1014" s="384">
        <v>0</v>
      </c>
    </row>
    <row r="1015" spans="2:5">
      <c r="B1015" s="903"/>
      <c r="C1015" s="903"/>
      <c r="D1015" s="387">
        <v>0</v>
      </c>
      <c r="E1015" s="384">
        <v>0</v>
      </c>
    </row>
    <row r="1016" spans="2:5">
      <c r="B1016" s="903" t="str">
        <f t="shared" ref="B1016:C1016" si="132">B866</f>
        <v>Demjata obec/mimo/ - Raslavice/mimo/</v>
      </c>
      <c r="C1016" s="903" t="str">
        <f t="shared" si="132"/>
        <v>Medzistaničný úsek</v>
      </c>
      <c r="D1016" s="387" t="s">
        <v>353</v>
      </c>
      <c r="E1016" s="384">
        <v>0</v>
      </c>
    </row>
    <row r="1017" spans="2:5">
      <c r="B1017" s="903"/>
      <c r="C1017" s="903"/>
      <c r="D1017" s="387" t="s">
        <v>725</v>
      </c>
      <c r="E1017" s="384">
        <v>1</v>
      </c>
    </row>
    <row r="1018" spans="2:5">
      <c r="B1018" s="903"/>
      <c r="C1018" s="903"/>
      <c r="D1018" s="387" t="s">
        <v>354</v>
      </c>
      <c r="E1018" s="384">
        <v>0</v>
      </c>
    </row>
    <row r="1019" spans="2:5">
      <c r="B1019" s="921" t="str">
        <f t="shared" ref="B1019:C1019" si="133">B869</f>
        <v>Raslavice</v>
      </c>
      <c r="C1019" s="903" t="str">
        <f t="shared" si="133"/>
        <v>Stanica</v>
      </c>
      <c r="D1019" s="387">
        <v>0</v>
      </c>
      <c r="E1019" s="384">
        <v>0</v>
      </c>
    </row>
    <row r="1020" spans="2:5">
      <c r="B1020" s="921"/>
      <c r="C1020" s="903"/>
      <c r="D1020" s="387">
        <v>0</v>
      </c>
      <c r="E1020" s="384">
        <v>0</v>
      </c>
    </row>
    <row r="1021" spans="2:5">
      <c r="B1021" s="921"/>
      <c r="C1021" s="903"/>
      <c r="D1021" s="387">
        <v>0</v>
      </c>
      <c r="E1021" s="384">
        <v>0</v>
      </c>
    </row>
    <row r="1024" spans="2:5" ht="15.75" thickBot="1"/>
    <row r="1025" spans="2:6">
      <c r="B1025" s="912" t="s">
        <v>732</v>
      </c>
      <c r="C1025" s="913"/>
      <c r="D1025" s="914"/>
    </row>
    <row r="1026" spans="2:6" ht="15.75" thickBot="1">
      <c r="B1026" s="915"/>
      <c r="C1026" s="916"/>
      <c r="D1026" s="917"/>
    </row>
    <row r="1027" spans="2:6" ht="15.75" thickBot="1"/>
    <row r="1028" spans="2:6" ht="25.5" customHeight="1" thickBot="1">
      <c r="B1028" s="918" t="s">
        <v>599</v>
      </c>
      <c r="C1028" s="919"/>
      <c r="D1028" s="920"/>
    </row>
    <row r="1029" spans="2:6" ht="6" customHeight="1">
      <c r="B1029" s="386"/>
      <c r="C1029" s="386"/>
      <c r="D1029" s="386"/>
    </row>
    <row r="1030" spans="2:6">
      <c r="B1030" s="911" t="s">
        <v>733</v>
      </c>
      <c r="C1030" s="330" t="str">
        <f t="shared" ref="C1030:C1035" si="134">B1068</f>
        <v>Dĺžka hlavných traťových koľají mimo staníc  [km] =&gt; 1-koľaj - Jednosmerná</v>
      </c>
      <c r="D1030" s="368">
        <f>(C1068*C1060)*F1030</f>
        <v>0</v>
      </c>
      <c r="E1030" s="389" t="s">
        <v>656</v>
      </c>
      <c r="F1030" s="543">
        <v>1</v>
      </c>
    </row>
    <row r="1031" spans="2:6">
      <c r="B1031" s="911"/>
      <c r="C1031" s="330" t="str">
        <f t="shared" si="134"/>
        <v>Dĺžka hlavných traťových koľají mimo staníc  [km] =&gt; 2-koľaj - Jednosmerná</v>
      </c>
      <c r="D1031" s="368">
        <f>(C1069*C1061)*F1031</f>
        <v>0</v>
      </c>
      <c r="E1031" s="389" t="s">
        <v>656</v>
      </c>
      <c r="F1031" s="543">
        <v>1</v>
      </c>
    </row>
    <row r="1032" spans="2:6">
      <c r="B1032" s="911"/>
      <c r="C1032" s="330" t="str">
        <f t="shared" si="134"/>
        <v>Dĺžka hlavných traťových koľají mimo staníc  [km] =&gt; 1-koľaj - Striedavá</v>
      </c>
      <c r="D1032" s="368">
        <f>(C1070*D1060)*F1032</f>
        <v>0</v>
      </c>
      <c r="E1032" s="389" t="s">
        <v>656</v>
      </c>
      <c r="F1032" s="543">
        <v>1</v>
      </c>
    </row>
    <row r="1033" spans="2:6">
      <c r="B1033" s="911"/>
      <c r="C1033" s="330" t="str">
        <f t="shared" si="134"/>
        <v>Dĺžka hlavných traťových koľají mimo staníc  [km] =&gt; 2-koľaj - Striedavá</v>
      </c>
      <c r="D1033" s="368">
        <f>(C1071*D1061)*F1033</f>
        <v>0</v>
      </c>
      <c r="E1033" s="389" t="s">
        <v>656</v>
      </c>
      <c r="F1033" s="543">
        <v>1</v>
      </c>
    </row>
    <row r="1034" spans="2:6">
      <c r="B1034" s="911"/>
      <c r="C1034" s="330" t="str">
        <f t="shared" si="134"/>
        <v>Dĺžka hlavných traťových koľají mimo staníc  [km] =&gt; 1-koľaj - Neelektrifkovaná trať</v>
      </c>
      <c r="D1034" s="368">
        <f>(C1072*E1060)*F1034</f>
        <v>19716.955862191258</v>
      </c>
      <c r="E1034" s="389" t="s">
        <v>656</v>
      </c>
      <c r="F1034" s="543">
        <v>1</v>
      </c>
    </row>
    <row r="1035" spans="2:6">
      <c r="B1035" s="911"/>
      <c r="C1035" s="330" t="str">
        <f t="shared" si="134"/>
        <v>Dĺžka hlavných traťových koľají mimo staníc  [km] =&gt; 2-koľaj - Neelektrifkovaná trať</v>
      </c>
      <c r="D1035" s="368">
        <f>(C1073*E1061)*F1035</f>
        <v>0</v>
      </c>
      <c r="E1035" s="389" t="s">
        <v>656</v>
      </c>
      <c r="F1035" s="543">
        <v>1</v>
      </c>
    </row>
    <row r="1036" spans="2:6" ht="7.5" customHeight="1">
      <c r="D1036" s="347"/>
      <c r="E1036" s="476"/>
      <c r="F1036" s="465"/>
    </row>
    <row r="1037" spans="2:6">
      <c r="B1037" s="911" t="s">
        <v>734</v>
      </c>
      <c r="C1037" s="330" t="str">
        <f>B1223</f>
        <v>Dĺžka staničných koľají  [km] - Jednosmerná</v>
      </c>
      <c r="D1037" s="368">
        <f>(C1223*C1217)*F1037</f>
        <v>267972.90835657396</v>
      </c>
      <c r="E1037" s="389" t="s">
        <v>656</v>
      </c>
      <c r="F1037" s="543">
        <v>1</v>
      </c>
    </row>
    <row r="1038" spans="2:6">
      <c r="B1038" s="911"/>
      <c r="C1038" s="330" t="str">
        <f t="shared" ref="C1038:C1039" si="135">B1224</f>
        <v>Dĺžka staničných koľají  [km] - Striedavá</v>
      </c>
      <c r="D1038" s="368">
        <f>(C1224*D1217)*F1038</f>
        <v>0</v>
      </c>
      <c r="E1038" s="389" t="s">
        <v>656</v>
      </c>
      <c r="F1038" s="543">
        <v>1</v>
      </c>
    </row>
    <row r="1039" spans="2:6" ht="15.75" thickBot="1">
      <c r="B1039" s="911"/>
      <c r="C1039" s="330" t="str">
        <f t="shared" si="135"/>
        <v>Dĺžka staničných koľají  [km] - Neelektrifikovaná koľaj</v>
      </c>
      <c r="D1039" s="368">
        <f>(C1225*E1217)*F1039</f>
        <v>200462.87436531537</v>
      </c>
      <c r="E1039" s="389" t="s">
        <v>656</v>
      </c>
      <c r="F1039" s="543">
        <v>1</v>
      </c>
    </row>
    <row r="1040" spans="2:6" ht="26.25" customHeight="1" thickBot="1">
      <c r="C1040" s="392" t="s">
        <v>602</v>
      </c>
      <c r="D1040" s="393">
        <f>SUM(D1030:D1039)</f>
        <v>488152.73858408059</v>
      </c>
    </row>
    <row r="1042" spans="2:7" ht="15.75" thickBot="1"/>
    <row r="1043" spans="2:7" ht="24.75" customHeight="1" thickBot="1">
      <c r="B1043" s="918" t="s">
        <v>600</v>
      </c>
      <c r="C1043" s="919"/>
      <c r="D1043" s="601">
        <v>2027</v>
      </c>
      <c r="E1043" s="602" t="s">
        <v>839</v>
      </c>
    </row>
    <row r="1044" spans="2:7" ht="6" customHeight="1">
      <c r="B1044" s="477"/>
      <c r="C1044" s="478"/>
      <c r="D1044" s="478"/>
    </row>
    <row r="1045" spans="2:7">
      <c r="B1045" s="911" t="s">
        <v>733</v>
      </c>
      <c r="C1045" s="330" t="str">
        <f t="shared" ref="C1045:C1050" si="136">B1068</f>
        <v>Dĺžka hlavných traťových koľají mimo staníc  [km] =&gt; 1-koľaj - Jednosmerná</v>
      </c>
      <c r="D1045" s="368">
        <f>(D1068*C1060)*G1045+E1068*C1062</f>
        <v>0</v>
      </c>
      <c r="E1045" s="368">
        <f>(F1068*C1060)*G1045+G1068*C1062</f>
        <v>0</v>
      </c>
      <c r="F1045" s="389" t="s">
        <v>656</v>
      </c>
      <c r="G1045" s="543">
        <f>F1030</f>
        <v>1</v>
      </c>
    </row>
    <row r="1046" spans="2:7">
      <c r="B1046" s="911"/>
      <c r="C1046" s="330" t="str">
        <f t="shared" si="136"/>
        <v>Dĺžka hlavných traťových koľají mimo staníc  [km] =&gt; 2-koľaj - Jednosmerná</v>
      </c>
      <c r="D1046" s="368">
        <f>(D1069*C1061)*G1046+E1069*C1063</f>
        <v>0</v>
      </c>
      <c r="E1046" s="368">
        <f>(F1069*C1061)*G1046+G1069*C1063</f>
        <v>0</v>
      </c>
      <c r="F1046" s="389" t="s">
        <v>656</v>
      </c>
      <c r="G1046" s="543">
        <f t="shared" ref="G1046:G1054" si="137">F1031</f>
        <v>1</v>
      </c>
    </row>
    <row r="1047" spans="2:7">
      <c r="B1047" s="911"/>
      <c r="C1047" s="330" t="str">
        <f t="shared" si="136"/>
        <v>Dĺžka hlavných traťových koľají mimo staníc  [km] =&gt; 1-koľaj - Striedavá</v>
      </c>
      <c r="D1047" s="368">
        <f>(D1070*D1060)*G1047+E1070*D1062</f>
        <v>0</v>
      </c>
      <c r="E1047" s="368">
        <f>(F1070*D1060)*G1047+G1070*D1062</f>
        <v>0</v>
      </c>
      <c r="F1047" s="389" t="s">
        <v>656</v>
      </c>
      <c r="G1047" s="543">
        <f t="shared" si="137"/>
        <v>1</v>
      </c>
    </row>
    <row r="1048" spans="2:7">
      <c r="B1048" s="911"/>
      <c r="C1048" s="330" t="str">
        <f t="shared" si="136"/>
        <v>Dĺžka hlavných traťových koľají mimo staníc  [km] =&gt; 2-koľaj - Striedavá</v>
      </c>
      <c r="D1048" s="368">
        <f>(D1071*D1061)*G1048+E1071*D1063</f>
        <v>0</v>
      </c>
      <c r="E1048" s="368">
        <f>(F1071*D1061)*G1048+G1071*D1063</f>
        <v>0</v>
      </c>
      <c r="F1048" s="389" t="s">
        <v>656</v>
      </c>
      <c r="G1048" s="543">
        <f t="shared" si="137"/>
        <v>1</v>
      </c>
    </row>
    <row r="1049" spans="2:7">
      <c r="B1049" s="911"/>
      <c r="C1049" s="330" t="str">
        <f t="shared" si="136"/>
        <v>Dĺžka hlavných traťových koľají mimo staníc  [km] =&gt; 1-koľaj - Neelektrifkovaná trať</v>
      </c>
      <c r="D1049" s="388">
        <f>(D1072*E1060)*G1049+E1072*E1062</f>
        <v>19716.955862191258</v>
      </c>
      <c r="E1049" s="368">
        <f>(F1072*E1060)*G1049+G1072*E1062</f>
        <v>19716.955862191258</v>
      </c>
      <c r="F1049" s="389" t="s">
        <v>656</v>
      </c>
      <c r="G1049" s="543">
        <f t="shared" si="137"/>
        <v>1</v>
      </c>
    </row>
    <row r="1050" spans="2:7">
      <c r="B1050" s="911"/>
      <c r="C1050" s="330" t="str">
        <f t="shared" si="136"/>
        <v>Dĺžka hlavných traťových koľají mimo staníc  [km] =&gt; 2-koľaj - Neelektrifkovaná trať</v>
      </c>
      <c r="D1050" s="368">
        <f>(D1073*E1061)*G1050+E1073*E1063</f>
        <v>0</v>
      </c>
      <c r="E1050" s="368">
        <f>(F1073*E1061)*G1050+G1073*E1063</f>
        <v>0</v>
      </c>
      <c r="F1050" s="389" t="s">
        <v>656</v>
      </c>
      <c r="G1050" s="543">
        <f t="shared" si="137"/>
        <v>1</v>
      </c>
    </row>
    <row r="1051" spans="2:7" ht="6.75" customHeight="1">
      <c r="D1051" s="347"/>
      <c r="F1051" s="476"/>
      <c r="G1051" s="544"/>
    </row>
    <row r="1052" spans="2:7">
      <c r="B1052" s="911" t="s">
        <v>734</v>
      </c>
      <c r="C1052" s="330" t="str">
        <f>B1223</f>
        <v>Dĺžka staničných koľají  [km] - Jednosmerná</v>
      </c>
      <c r="D1052" s="368">
        <f>(D1223*C1217)*G1052+E1223*C1218</f>
        <v>267972.90835657396</v>
      </c>
      <c r="E1052" s="368">
        <f>(F1223*C1217)*G1052+G1223*C1218</f>
        <v>267972.90835657396</v>
      </c>
      <c r="F1052" s="389" t="s">
        <v>656</v>
      </c>
      <c r="G1052" s="543">
        <f t="shared" si="137"/>
        <v>1</v>
      </c>
    </row>
    <row r="1053" spans="2:7">
      <c r="B1053" s="911"/>
      <c r="C1053" s="330" t="str">
        <f>B1224</f>
        <v>Dĺžka staničných koľají  [km] - Striedavá</v>
      </c>
      <c r="D1053" s="368">
        <f>(D1224*D1217)*G1053+E1224*D1218</f>
        <v>0</v>
      </c>
      <c r="E1053" s="368">
        <f>(F1224*D1217)*G1053+G1224*D1218</f>
        <v>0</v>
      </c>
      <c r="F1053" s="389" t="s">
        <v>656</v>
      </c>
      <c r="G1053" s="543">
        <f t="shared" si="137"/>
        <v>1</v>
      </c>
    </row>
    <row r="1054" spans="2:7" ht="15.75" thickBot="1">
      <c r="B1054" s="911"/>
      <c r="C1054" s="330" t="str">
        <f>B1225</f>
        <v>Dĺžka staničných koľají  [km] - Neelektrifikovaná koľaj</v>
      </c>
      <c r="D1054" s="388">
        <f>(D1225*E1217)*G1054+E1225*E1218</f>
        <v>200462.87436531537</v>
      </c>
      <c r="E1054" s="368">
        <f>(F1225*E1217)*G1054+G1225*E1218</f>
        <v>200462.87436531537</v>
      </c>
      <c r="F1054" s="389" t="s">
        <v>656</v>
      </c>
      <c r="G1054" s="543">
        <f t="shared" si="137"/>
        <v>1</v>
      </c>
    </row>
    <row r="1055" spans="2:7" ht="19.5" thickBot="1">
      <c r="C1055" s="392" t="s">
        <v>602</v>
      </c>
      <c r="D1055" s="393">
        <f>SUM(D1045:D1054)</f>
        <v>488152.73858408059</v>
      </c>
      <c r="E1055" s="393">
        <f>SUM(E1045:E1054)</f>
        <v>488152.73858408059</v>
      </c>
    </row>
    <row r="1058" spans="2:7">
      <c r="B1058" s="415" t="s">
        <v>366</v>
      </c>
      <c r="C1058" s="904" t="s">
        <v>362</v>
      </c>
      <c r="D1058" s="904"/>
      <c r="E1058" s="905" t="s">
        <v>363</v>
      </c>
    </row>
    <row r="1059" spans="2:7">
      <c r="B1059" s="395" t="s">
        <v>316</v>
      </c>
      <c r="C1059" s="396" t="s">
        <v>364</v>
      </c>
      <c r="D1059" s="396" t="s">
        <v>365</v>
      </c>
      <c r="E1059" s="906"/>
    </row>
    <row r="1060" spans="2:7">
      <c r="B1060" s="416" t="s">
        <v>320</v>
      </c>
      <c r="C1060" s="479">
        <f>Parametre!C100</f>
        <v>9647.1300001214986</v>
      </c>
      <c r="D1060" s="479">
        <f>Parametre!D100</f>
        <v>3349.625451637643</v>
      </c>
      <c r="E1060" s="479">
        <f>Parametre!E100</f>
        <v>298.70102352999231</v>
      </c>
    </row>
    <row r="1061" spans="2:7">
      <c r="B1061" s="416" t="s">
        <v>321</v>
      </c>
      <c r="C1061" s="479">
        <f>Parametre!C101</f>
        <v>19292.955628961205</v>
      </c>
      <c r="D1061" s="479">
        <f>Parametre!D101</f>
        <v>6697.9465319934952</v>
      </c>
      <c r="E1061" s="479">
        <f>Parametre!E101</f>
        <v>597.40204705998462</v>
      </c>
    </row>
    <row r="1062" spans="2:7">
      <c r="B1062" s="416" t="s">
        <v>322</v>
      </c>
      <c r="C1062" s="479">
        <f>Parametre!C102</f>
        <v>8251.4527286058128</v>
      </c>
      <c r="D1062" s="479">
        <f>Parametre!D102</f>
        <v>2985.7058640181326</v>
      </c>
      <c r="E1062" s="479">
        <f>Parametre!E102</f>
        <v>266.09174148523334</v>
      </c>
    </row>
    <row r="1063" spans="2:7">
      <c r="B1063" s="416" t="s">
        <v>323</v>
      </c>
      <c r="C1063" s="479">
        <f>Parametre!C103</f>
        <v>16504.209828493418</v>
      </c>
      <c r="D1063" s="479">
        <f>Parametre!D103</f>
        <v>5971.4117280362652</v>
      </c>
      <c r="E1063" s="479">
        <f>Parametre!E103</f>
        <v>532.18348297046668</v>
      </c>
    </row>
    <row r="1064" spans="2:7">
      <c r="B1064" s="399" t="s">
        <v>735</v>
      </c>
      <c r="C1064" s="331"/>
      <c r="D1064" s="331"/>
      <c r="E1064" s="331"/>
    </row>
    <row r="1065" spans="2:7" ht="15.75" thickBot="1"/>
    <row r="1066" spans="2:7" ht="42" customHeight="1">
      <c r="B1066" s="399"/>
      <c r="C1066" s="907" t="s">
        <v>599</v>
      </c>
      <c r="D1066" s="909" t="s">
        <v>840</v>
      </c>
      <c r="E1066" s="910"/>
      <c r="F1066" s="909" t="s">
        <v>841</v>
      </c>
      <c r="G1066" s="910"/>
    </row>
    <row r="1067" spans="2:7" ht="15.75" thickBot="1">
      <c r="B1067" s="399"/>
      <c r="C1067" s="908"/>
      <c r="D1067" s="400" t="s">
        <v>671</v>
      </c>
      <c r="E1067" s="401" t="s">
        <v>672</v>
      </c>
      <c r="F1067" s="400" t="s">
        <v>671</v>
      </c>
      <c r="G1067" s="401" t="s">
        <v>672</v>
      </c>
    </row>
    <row r="1068" spans="2:7">
      <c r="B1068" s="402" t="s">
        <v>736</v>
      </c>
      <c r="C1068" s="480">
        <f>SUMIFS(F1077:F1211,E1077:E1211,C1059,D1077:D1211,"1-koľaj")</f>
        <v>0</v>
      </c>
      <c r="D1068" s="481">
        <f>C1068-E1068</f>
        <v>0</v>
      </c>
      <c r="E1068" s="482">
        <v>0</v>
      </c>
      <c r="F1068" s="481">
        <f t="shared" ref="F1068:F1073" si="138">C1068-G1068</f>
        <v>0</v>
      </c>
      <c r="G1068" s="482">
        <v>0</v>
      </c>
    </row>
    <row r="1069" spans="2:7">
      <c r="B1069" s="407" t="s">
        <v>737</v>
      </c>
      <c r="C1069" s="408">
        <f>SUMIFS(F1077:F1211,E1077:E1211,C1059,D1077:D1211,"2-koľaj")</f>
        <v>0</v>
      </c>
      <c r="D1069" s="483">
        <f>C1069-E1069</f>
        <v>0</v>
      </c>
      <c r="E1069" s="442">
        <v>0</v>
      </c>
      <c r="F1069" s="483">
        <f t="shared" si="138"/>
        <v>0</v>
      </c>
      <c r="G1069" s="442">
        <v>0</v>
      </c>
    </row>
    <row r="1070" spans="2:7">
      <c r="B1070" s="407" t="s">
        <v>738</v>
      </c>
      <c r="C1070" s="408">
        <f>SUMIFS(F1077:F1211,E1077:E1211,D1059,D1077:D1211,"1-koľaj")</f>
        <v>0</v>
      </c>
      <c r="D1070" s="483">
        <f t="shared" ref="D1070:D1072" si="139">C1070-E1070</f>
        <v>0</v>
      </c>
      <c r="E1070" s="442">
        <v>0</v>
      </c>
      <c r="F1070" s="483">
        <f t="shared" si="138"/>
        <v>0</v>
      </c>
      <c r="G1070" s="442">
        <v>0</v>
      </c>
    </row>
    <row r="1071" spans="2:7">
      <c r="B1071" s="407" t="s">
        <v>739</v>
      </c>
      <c r="C1071" s="408">
        <f>SUMIFS(F1077:F1211,E1077:E1211,D1059,D1077:D1211,"2-koľaj")</f>
        <v>0</v>
      </c>
      <c r="D1071" s="483">
        <f t="shared" si="139"/>
        <v>0</v>
      </c>
      <c r="E1071" s="442">
        <v>0</v>
      </c>
      <c r="F1071" s="483">
        <f t="shared" si="138"/>
        <v>0</v>
      </c>
      <c r="G1071" s="442">
        <v>0</v>
      </c>
    </row>
    <row r="1072" spans="2:7">
      <c r="B1072" s="407" t="s">
        <v>740</v>
      </c>
      <c r="C1072" s="408">
        <f>SUMIFS(F1077:F1211,E1077:E1211,E1058,D1077:D1211,"1-koľaj")</f>
        <v>66.008999999999986</v>
      </c>
      <c r="D1072" s="483">
        <f t="shared" si="139"/>
        <v>66.008999999999986</v>
      </c>
      <c r="E1072" s="442">
        <v>0</v>
      </c>
      <c r="F1072" s="483">
        <f t="shared" si="138"/>
        <v>66.008999999999986</v>
      </c>
      <c r="G1072" s="442">
        <v>0</v>
      </c>
    </row>
    <row r="1073" spans="2:7" ht="15.75" thickBot="1">
      <c r="B1073" s="410" t="s">
        <v>741</v>
      </c>
      <c r="C1073" s="424">
        <f>SUMIFS(F1077:F1211,E1077:E1211,E1058,D1077:D1211,"2-koľaj")</f>
        <v>0</v>
      </c>
      <c r="D1073" s="484">
        <f>C1073-E1073</f>
        <v>0</v>
      </c>
      <c r="E1073" s="446">
        <v>0</v>
      </c>
      <c r="F1073" s="484">
        <f t="shared" si="138"/>
        <v>0</v>
      </c>
      <c r="G1073" s="446">
        <v>0</v>
      </c>
    </row>
    <row r="1074" spans="2:7">
      <c r="C1074" s="485"/>
      <c r="D1074" s="331"/>
    </row>
    <row r="1076" spans="2:7" ht="45">
      <c r="D1076" s="413" t="s">
        <v>674</v>
      </c>
      <c r="E1076" s="371" t="s">
        <v>742</v>
      </c>
      <c r="F1076" s="414" t="s">
        <v>743</v>
      </c>
    </row>
    <row r="1077" spans="2:7">
      <c r="B1077" s="903" t="str">
        <f>B887</f>
        <v>Prešov</v>
      </c>
      <c r="C1077" s="903" t="str">
        <f>C887</f>
        <v>Stanica</v>
      </c>
      <c r="D1077" s="387">
        <v>0</v>
      </c>
      <c r="E1077" s="387">
        <v>0</v>
      </c>
      <c r="F1077" s="387">
        <v>0</v>
      </c>
    </row>
    <row r="1078" spans="2:7">
      <c r="B1078" s="903"/>
      <c r="C1078" s="903"/>
      <c r="D1078" s="387">
        <v>0</v>
      </c>
      <c r="E1078" s="387">
        <v>0</v>
      </c>
      <c r="F1078" s="387">
        <v>0</v>
      </c>
    </row>
    <row r="1079" spans="2:7">
      <c r="B1079" s="903"/>
      <c r="C1079" s="903"/>
      <c r="D1079" s="387">
        <v>0</v>
      </c>
      <c r="E1079" s="387">
        <v>0</v>
      </c>
      <c r="F1079" s="387">
        <v>0</v>
      </c>
    </row>
    <row r="1080" spans="2:7">
      <c r="B1080" s="903" t="str">
        <f>B890</f>
        <v xml:space="preserve">Prešov/mimo/ - Šarišské Lúky/mimo/ </v>
      </c>
      <c r="C1080" s="903" t="str">
        <f>C890</f>
        <v>Medzistaničný úsek</v>
      </c>
      <c r="D1080" s="387" t="s">
        <v>341</v>
      </c>
      <c r="E1080" s="387" t="s">
        <v>804</v>
      </c>
      <c r="F1080" s="387">
        <v>0</v>
      </c>
    </row>
    <row r="1081" spans="2:7">
      <c r="B1081" s="903"/>
      <c r="C1081" s="903"/>
      <c r="D1081" s="387" t="s">
        <v>341</v>
      </c>
      <c r="E1081" s="387" t="s">
        <v>805</v>
      </c>
      <c r="F1081" s="387">
        <v>0</v>
      </c>
    </row>
    <row r="1082" spans="2:7">
      <c r="B1082" s="903"/>
      <c r="C1082" s="903"/>
      <c r="D1082" s="387" t="s">
        <v>341</v>
      </c>
      <c r="E1082" s="387" t="s">
        <v>363</v>
      </c>
      <c r="F1082" s="387">
        <v>2.1380000000000052</v>
      </c>
    </row>
    <row r="1083" spans="2:7">
      <c r="B1083" s="903" t="str">
        <f>B893</f>
        <v>Šarišské Lúky</v>
      </c>
      <c r="C1083" s="903" t="str">
        <f>C893</f>
        <v>Stanica</v>
      </c>
      <c r="D1083" s="387">
        <v>0</v>
      </c>
      <c r="E1083" s="387">
        <v>0</v>
      </c>
      <c r="F1083" s="387">
        <v>0</v>
      </c>
    </row>
    <row r="1084" spans="2:7">
      <c r="B1084" s="903"/>
      <c r="C1084" s="903"/>
      <c r="D1084" s="387">
        <v>0</v>
      </c>
      <c r="E1084" s="387">
        <v>0</v>
      </c>
      <c r="F1084" s="387">
        <v>0</v>
      </c>
    </row>
    <row r="1085" spans="2:7">
      <c r="B1085" s="903"/>
      <c r="C1085" s="903"/>
      <c r="D1085" s="387">
        <v>0</v>
      </c>
      <c r="E1085" s="387">
        <v>0</v>
      </c>
      <c r="F1085" s="387">
        <v>0</v>
      </c>
    </row>
    <row r="1086" spans="2:7">
      <c r="B1086" s="903" t="str">
        <f>B896</f>
        <v xml:space="preserve">Šarišské Lúky/mimo/  - Kapušany pri Prešove/mimo/ </v>
      </c>
      <c r="C1086" s="903" t="str">
        <f>C896</f>
        <v>Medzistaničný úsek</v>
      </c>
      <c r="D1086" s="387" t="s">
        <v>341</v>
      </c>
      <c r="E1086" s="387" t="s">
        <v>804</v>
      </c>
      <c r="F1086" s="387">
        <v>0</v>
      </c>
    </row>
    <row r="1087" spans="2:7">
      <c r="B1087" s="903"/>
      <c r="C1087" s="903"/>
      <c r="D1087" s="387" t="s">
        <v>341</v>
      </c>
      <c r="E1087" s="387" t="s">
        <v>805</v>
      </c>
      <c r="F1087" s="387">
        <v>0</v>
      </c>
    </row>
    <row r="1088" spans="2:7">
      <c r="B1088" s="903"/>
      <c r="C1088" s="903"/>
      <c r="D1088" s="387" t="s">
        <v>341</v>
      </c>
      <c r="E1088" s="387" t="s">
        <v>363</v>
      </c>
      <c r="F1088" s="387">
        <v>4.2980000000000018</v>
      </c>
    </row>
    <row r="1089" spans="2:6">
      <c r="B1089" s="903" t="str">
        <f>B899</f>
        <v>Kapušany pri Prešove</v>
      </c>
      <c r="C1089" s="903" t="str">
        <f>C899</f>
        <v>Stanica</v>
      </c>
      <c r="D1089" s="387">
        <v>0</v>
      </c>
      <c r="E1089" s="387">
        <v>0</v>
      </c>
      <c r="F1089" s="387">
        <v>0</v>
      </c>
    </row>
    <row r="1090" spans="2:6">
      <c r="B1090" s="903"/>
      <c r="C1090" s="903"/>
      <c r="D1090" s="387">
        <v>0</v>
      </c>
      <c r="E1090" s="387">
        <v>0</v>
      </c>
      <c r="F1090" s="387">
        <v>0</v>
      </c>
    </row>
    <row r="1091" spans="2:6">
      <c r="B1091" s="903"/>
      <c r="C1091" s="903"/>
      <c r="D1091" s="387">
        <v>0</v>
      </c>
      <c r="E1091" s="387">
        <v>0</v>
      </c>
      <c r="F1091" s="387">
        <v>0</v>
      </c>
    </row>
    <row r="1092" spans="2:6">
      <c r="B1092" s="903" t="str">
        <f>B902</f>
        <v>Kapušany pri Prešove/mimo/  - Lada</v>
      </c>
      <c r="C1092" s="903" t="str">
        <f>C902</f>
        <v>Medzistaničný úsek</v>
      </c>
      <c r="D1092" s="387" t="s">
        <v>341</v>
      </c>
      <c r="E1092" s="387" t="s">
        <v>804</v>
      </c>
      <c r="F1092" s="387">
        <v>0</v>
      </c>
    </row>
    <row r="1093" spans="2:6">
      <c r="B1093" s="903"/>
      <c r="C1093" s="903"/>
      <c r="D1093" s="387" t="s">
        <v>341</v>
      </c>
      <c r="E1093" s="387" t="s">
        <v>805</v>
      </c>
      <c r="F1093" s="387">
        <v>0</v>
      </c>
    </row>
    <row r="1094" spans="2:6">
      <c r="B1094" s="903"/>
      <c r="C1094" s="903"/>
      <c r="D1094" s="387" t="s">
        <v>341</v>
      </c>
      <c r="E1094" s="387" t="s">
        <v>363</v>
      </c>
      <c r="F1094" s="387">
        <v>2.195999999999998</v>
      </c>
    </row>
    <row r="1095" spans="2:6">
      <c r="B1095" s="903" t="str">
        <f>B905</f>
        <v>Lada</v>
      </c>
      <c r="C1095" s="903" t="str">
        <f>C905</f>
        <v>Stanica</v>
      </c>
      <c r="D1095" s="387">
        <v>0</v>
      </c>
      <c r="E1095" s="387">
        <v>0</v>
      </c>
      <c r="F1095" s="387">
        <v>0</v>
      </c>
    </row>
    <row r="1096" spans="2:6">
      <c r="B1096" s="903"/>
      <c r="C1096" s="903"/>
      <c r="D1096" s="387">
        <v>0</v>
      </c>
      <c r="E1096" s="387">
        <v>0</v>
      </c>
      <c r="F1096" s="387">
        <v>0</v>
      </c>
    </row>
    <row r="1097" spans="2:6">
      <c r="B1097" s="903"/>
      <c r="C1097" s="903"/>
      <c r="D1097" s="387">
        <v>0</v>
      </c>
      <c r="E1097" s="387">
        <v>0</v>
      </c>
      <c r="F1097" s="387">
        <v>0</v>
      </c>
    </row>
    <row r="1098" spans="2:6">
      <c r="B1098" s="903" t="str">
        <f>B908</f>
        <v xml:space="preserve">Lada  - Lipníky/mimo/ </v>
      </c>
      <c r="C1098" s="903" t="str">
        <f>C908</f>
        <v>Medzistaničný úsek</v>
      </c>
      <c r="D1098" s="387" t="s">
        <v>341</v>
      </c>
      <c r="E1098" s="387" t="s">
        <v>804</v>
      </c>
      <c r="F1098" s="387">
        <v>0</v>
      </c>
    </row>
    <row r="1099" spans="2:6">
      <c r="B1099" s="903"/>
      <c r="C1099" s="903"/>
      <c r="D1099" s="387" t="s">
        <v>341</v>
      </c>
      <c r="E1099" s="387" t="s">
        <v>805</v>
      </c>
      <c r="F1099" s="387">
        <v>0</v>
      </c>
    </row>
    <row r="1100" spans="2:6">
      <c r="B1100" s="903"/>
      <c r="C1100" s="903"/>
      <c r="D1100" s="387" t="s">
        <v>341</v>
      </c>
      <c r="E1100" s="387" t="s">
        <v>363</v>
      </c>
      <c r="F1100" s="387">
        <v>3.5090000000000003</v>
      </c>
    </row>
    <row r="1101" spans="2:6">
      <c r="B1101" s="903" t="str">
        <f>B911</f>
        <v>Lipníky</v>
      </c>
      <c r="C1101" s="903" t="str">
        <f>C911</f>
        <v>Stanica</v>
      </c>
      <c r="D1101" s="387">
        <v>0</v>
      </c>
      <c r="E1101" s="387">
        <v>0</v>
      </c>
      <c r="F1101" s="387">
        <v>0</v>
      </c>
    </row>
    <row r="1102" spans="2:6">
      <c r="B1102" s="903"/>
      <c r="C1102" s="903"/>
      <c r="D1102" s="387">
        <v>0</v>
      </c>
      <c r="E1102" s="387">
        <v>0</v>
      </c>
      <c r="F1102" s="387">
        <v>0</v>
      </c>
    </row>
    <row r="1103" spans="2:6">
      <c r="B1103" s="903"/>
      <c r="C1103" s="903"/>
      <c r="D1103" s="387">
        <v>0</v>
      </c>
      <c r="E1103" s="387">
        <v>0</v>
      </c>
      <c r="F1103" s="387">
        <v>0</v>
      </c>
    </row>
    <row r="1104" spans="2:6">
      <c r="B1104" s="903" t="str">
        <f>B914</f>
        <v>Lipníky/mimo/  - Pavlovce</v>
      </c>
      <c r="C1104" s="903" t="str">
        <f>C914</f>
        <v>Medzistaničný úsek</v>
      </c>
      <c r="D1104" s="387" t="s">
        <v>341</v>
      </c>
      <c r="E1104" s="387" t="s">
        <v>804</v>
      </c>
      <c r="F1104" s="387">
        <v>0</v>
      </c>
    </row>
    <row r="1105" spans="2:6">
      <c r="B1105" s="903"/>
      <c r="C1105" s="903"/>
      <c r="D1105" s="387" t="s">
        <v>341</v>
      </c>
      <c r="E1105" s="387" t="s">
        <v>805</v>
      </c>
      <c r="F1105" s="387">
        <v>0</v>
      </c>
    </row>
    <row r="1106" spans="2:6">
      <c r="B1106" s="903"/>
      <c r="C1106" s="903"/>
      <c r="D1106" s="387" t="s">
        <v>341</v>
      </c>
      <c r="E1106" s="387" t="s">
        <v>363</v>
      </c>
      <c r="F1106" s="387">
        <v>3.9200000000000017</v>
      </c>
    </row>
    <row r="1107" spans="2:6">
      <c r="B1107" s="903" t="str">
        <f>B917</f>
        <v>Pavlovce</v>
      </c>
      <c r="C1107" s="903" t="str">
        <f>C917</f>
        <v>Stanica</v>
      </c>
      <c r="D1107" s="387">
        <v>0</v>
      </c>
      <c r="E1107" s="387">
        <v>0</v>
      </c>
      <c r="F1107" s="387">
        <v>0</v>
      </c>
    </row>
    <row r="1108" spans="2:6">
      <c r="B1108" s="903"/>
      <c r="C1108" s="903"/>
      <c r="D1108" s="387">
        <v>0</v>
      </c>
      <c r="E1108" s="387">
        <v>0</v>
      </c>
      <c r="F1108" s="387">
        <v>0</v>
      </c>
    </row>
    <row r="1109" spans="2:6">
      <c r="B1109" s="903"/>
      <c r="C1109" s="903"/>
      <c r="D1109" s="387">
        <v>0</v>
      </c>
      <c r="E1109" s="387">
        <v>0</v>
      </c>
      <c r="F1109" s="387">
        <v>0</v>
      </c>
    </row>
    <row r="1110" spans="2:6">
      <c r="B1110" s="903" t="str">
        <f>B920</f>
        <v>Pavlovce  - Hanušovce nad Topľou mesto</v>
      </c>
      <c r="C1110" s="903" t="str">
        <f>C920</f>
        <v>Medzistaničný úsek</v>
      </c>
      <c r="D1110" s="387" t="s">
        <v>341</v>
      </c>
      <c r="E1110" s="387" t="s">
        <v>804</v>
      </c>
      <c r="F1110" s="387">
        <v>0</v>
      </c>
    </row>
    <row r="1111" spans="2:6">
      <c r="B1111" s="903"/>
      <c r="C1111" s="903"/>
      <c r="D1111" s="387" t="s">
        <v>341</v>
      </c>
      <c r="E1111" s="387" t="s">
        <v>805</v>
      </c>
      <c r="F1111" s="387">
        <v>0</v>
      </c>
    </row>
    <row r="1112" spans="2:6">
      <c r="B1112" s="903"/>
      <c r="C1112" s="903"/>
      <c r="D1112" s="387" t="s">
        <v>341</v>
      </c>
      <c r="E1112" s="387" t="s">
        <v>363</v>
      </c>
      <c r="F1112" s="387">
        <v>3.6099999999999994</v>
      </c>
    </row>
    <row r="1113" spans="2:6">
      <c r="B1113" s="903" t="str">
        <f>B923</f>
        <v>Hanušovce nad Topľou mesto</v>
      </c>
      <c r="C1113" s="903" t="str">
        <f>C923</f>
        <v>Stanica</v>
      </c>
      <c r="D1113" s="387">
        <v>0</v>
      </c>
      <c r="E1113" s="387">
        <v>0</v>
      </c>
      <c r="F1113" s="387">
        <v>0</v>
      </c>
    </row>
    <row r="1114" spans="2:6">
      <c r="B1114" s="903"/>
      <c r="C1114" s="903"/>
      <c r="D1114" s="387">
        <v>0</v>
      </c>
      <c r="E1114" s="387">
        <v>0</v>
      </c>
      <c r="F1114" s="387">
        <v>0</v>
      </c>
    </row>
    <row r="1115" spans="2:6">
      <c r="B1115" s="903"/>
      <c r="C1115" s="903"/>
      <c r="D1115" s="387">
        <v>0</v>
      </c>
      <c r="E1115" s="387">
        <v>0</v>
      </c>
      <c r="F1115" s="387">
        <v>0</v>
      </c>
    </row>
    <row r="1116" spans="2:6">
      <c r="B1116" s="903" t="str">
        <f>B926</f>
        <v xml:space="preserve">Hanušovce nad Topľou mesto  - Hanušovce nad Topľou/mimo/ </v>
      </c>
      <c r="C1116" s="903" t="str">
        <f>C926</f>
        <v>Medzistaničný úsek</v>
      </c>
      <c r="D1116" s="387" t="s">
        <v>341</v>
      </c>
      <c r="E1116" s="387" t="s">
        <v>804</v>
      </c>
      <c r="F1116" s="387">
        <v>0</v>
      </c>
    </row>
    <row r="1117" spans="2:6">
      <c r="B1117" s="903"/>
      <c r="C1117" s="903"/>
      <c r="D1117" s="387" t="s">
        <v>341</v>
      </c>
      <c r="E1117" s="387" t="s">
        <v>805</v>
      </c>
      <c r="F1117" s="387">
        <v>0</v>
      </c>
    </row>
    <row r="1118" spans="2:6">
      <c r="B1118" s="903"/>
      <c r="C1118" s="903"/>
      <c r="D1118" s="387" t="s">
        <v>341</v>
      </c>
      <c r="E1118" s="387" t="s">
        <v>363</v>
      </c>
      <c r="F1118" s="387">
        <v>1.642000000000003</v>
      </c>
    </row>
    <row r="1119" spans="2:6">
      <c r="B1119" s="903" t="str">
        <f>B929</f>
        <v>Hanušovce nad Topľou</v>
      </c>
      <c r="C1119" s="903" t="str">
        <f>C929</f>
        <v>Stanica</v>
      </c>
      <c r="D1119" s="387">
        <v>0</v>
      </c>
      <c r="E1119" s="387">
        <v>0</v>
      </c>
      <c r="F1119" s="387">
        <v>0</v>
      </c>
    </row>
    <row r="1120" spans="2:6">
      <c r="B1120" s="903"/>
      <c r="C1120" s="903"/>
      <c r="D1120" s="387">
        <v>0</v>
      </c>
      <c r="E1120" s="387">
        <v>0</v>
      </c>
      <c r="F1120" s="387">
        <v>0</v>
      </c>
    </row>
    <row r="1121" spans="2:6">
      <c r="B1121" s="903"/>
      <c r="C1121" s="903"/>
      <c r="D1121" s="387">
        <v>0</v>
      </c>
      <c r="E1121" s="387">
        <v>0</v>
      </c>
      <c r="F1121" s="387">
        <v>0</v>
      </c>
    </row>
    <row r="1122" spans="2:6">
      <c r="B1122" s="903" t="str">
        <f>B932</f>
        <v>Hanušovce nad Topľou/mimo/  - Bystré</v>
      </c>
      <c r="C1122" s="903" t="str">
        <f>C932</f>
        <v>Medzistaničný úsek</v>
      </c>
      <c r="D1122" s="387" t="s">
        <v>341</v>
      </c>
      <c r="E1122" s="387" t="s">
        <v>804</v>
      </c>
      <c r="F1122" s="387">
        <v>0</v>
      </c>
    </row>
    <row r="1123" spans="2:6">
      <c r="B1123" s="903"/>
      <c r="C1123" s="903"/>
      <c r="D1123" s="387" t="s">
        <v>341</v>
      </c>
      <c r="E1123" s="387" t="s">
        <v>805</v>
      </c>
      <c r="F1123" s="387">
        <v>0</v>
      </c>
    </row>
    <row r="1124" spans="2:6">
      <c r="B1124" s="903"/>
      <c r="C1124" s="903"/>
      <c r="D1124" s="387" t="s">
        <v>341</v>
      </c>
      <c r="E1124" s="387" t="s">
        <v>363</v>
      </c>
      <c r="F1124" s="387">
        <v>1.7749999999999986</v>
      </c>
    </row>
    <row r="1125" spans="2:6">
      <c r="B1125" s="903" t="str">
        <f>B935</f>
        <v>Bystré</v>
      </c>
      <c r="C1125" s="903" t="str">
        <f>C935</f>
        <v>Stanica</v>
      </c>
      <c r="D1125" s="387">
        <v>0</v>
      </c>
      <c r="E1125" s="387">
        <v>0</v>
      </c>
      <c r="F1125" s="387">
        <v>0</v>
      </c>
    </row>
    <row r="1126" spans="2:6">
      <c r="B1126" s="903"/>
      <c r="C1126" s="903"/>
      <c r="D1126" s="387">
        <v>0</v>
      </c>
      <c r="E1126" s="387">
        <v>0</v>
      </c>
      <c r="F1126" s="387">
        <v>0</v>
      </c>
    </row>
    <row r="1127" spans="2:6">
      <c r="B1127" s="903"/>
      <c r="C1127" s="903"/>
      <c r="D1127" s="387">
        <v>0</v>
      </c>
      <c r="E1127" s="387">
        <v>0</v>
      </c>
      <c r="F1127" s="387">
        <v>0</v>
      </c>
    </row>
    <row r="1128" spans="2:6">
      <c r="B1128" s="903" t="str">
        <f>B938</f>
        <v xml:space="preserve">Bystré  - Čierne nad Topľou/mimo/ </v>
      </c>
      <c r="C1128" s="903" t="str">
        <f>C938</f>
        <v>Medzistaničný úsek</v>
      </c>
      <c r="D1128" s="387" t="s">
        <v>341</v>
      </c>
      <c r="E1128" s="387" t="s">
        <v>804</v>
      </c>
      <c r="F1128" s="387">
        <v>0</v>
      </c>
    </row>
    <row r="1129" spans="2:6">
      <c r="B1129" s="903"/>
      <c r="C1129" s="903"/>
      <c r="D1129" s="387" t="s">
        <v>341</v>
      </c>
      <c r="E1129" s="387" t="s">
        <v>805</v>
      </c>
      <c r="F1129" s="387">
        <v>0</v>
      </c>
    </row>
    <row r="1130" spans="2:6">
      <c r="B1130" s="903"/>
      <c r="C1130" s="903"/>
      <c r="D1130" s="387" t="s">
        <v>341</v>
      </c>
      <c r="E1130" s="387" t="s">
        <v>363</v>
      </c>
      <c r="F1130" s="387">
        <v>2.5999999999999979</v>
      </c>
    </row>
    <row r="1131" spans="2:6">
      <c r="B1131" s="903" t="str">
        <f>B941</f>
        <v>Čierne nad Topľou</v>
      </c>
      <c r="C1131" s="903" t="str">
        <f>C941</f>
        <v>Stanica</v>
      </c>
      <c r="D1131" s="387">
        <v>0</v>
      </c>
      <c r="E1131" s="387">
        <v>0</v>
      </c>
      <c r="F1131" s="387">
        <v>0</v>
      </c>
    </row>
    <row r="1132" spans="2:6">
      <c r="B1132" s="903"/>
      <c r="C1132" s="903"/>
      <c r="D1132" s="387">
        <v>0</v>
      </c>
      <c r="E1132" s="387">
        <v>0</v>
      </c>
      <c r="F1132" s="387">
        <v>0</v>
      </c>
    </row>
    <row r="1133" spans="2:6">
      <c r="B1133" s="903"/>
      <c r="C1133" s="903"/>
      <c r="D1133" s="387">
        <v>0</v>
      </c>
      <c r="E1133" s="387">
        <v>0</v>
      </c>
      <c r="F1133" s="387">
        <v>0</v>
      </c>
    </row>
    <row r="1134" spans="2:6">
      <c r="B1134" s="903" t="str">
        <f>B944</f>
        <v>Čierne nad Topľou/mimo/  - Hlinné</v>
      </c>
      <c r="C1134" s="903" t="str">
        <f>C944</f>
        <v>Medzistaničný úsek</v>
      </c>
      <c r="D1134" s="387" t="s">
        <v>341</v>
      </c>
      <c r="E1134" s="387" t="s">
        <v>804</v>
      </c>
      <c r="F1134" s="387">
        <v>0</v>
      </c>
    </row>
    <row r="1135" spans="2:6">
      <c r="B1135" s="903"/>
      <c r="C1135" s="903"/>
      <c r="D1135" s="387" t="s">
        <v>341</v>
      </c>
      <c r="E1135" s="387" t="s">
        <v>805</v>
      </c>
      <c r="F1135" s="387">
        <v>0</v>
      </c>
    </row>
    <row r="1136" spans="2:6">
      <c r="B1136" s="903"/>
      <c r="C1136" s="903"/>
      <c r="D1136" s="387" t="s">
        <v>341</v>
      </c>
      <c r="E1136" s="387" t="s">
        <v>363</v>
      </c>
      <c r="F1136" s="387">
        <v>3.6030000000000015</v>
      </c>
    </row>
    <row r="1137" spans="2:6">
      <c r="B1137" s="903" t="str">
        <f>B947</f>
        <v>Hlinné</v>
      </c>
      <c r="C1137" s="903" t="str">
        <f>C947</f>
        <v>Stanica</v>
      </c>
      <c r="D1137" s="387">
        <v>0</v>
      </c>
      <c r="E1137" s="387">
        <v>0</v>
      </c>
      <c r="F1137" s="387">
        <v>0</v>
      </c>
    </row>
    <row r="1138" spans="2:6">
      <c r="B1138" s="903"/>
      <c r="C1138" s="903"/>
      <c r="D1138" s="387">
        <v>0</v>
      </c>
      <c r="E1138" s="387">
        <v>0</v>
      </c>
      <c r="F1138" s="387">
        <v>0</v>
      </c>
    </row>
    <row r="1139" spans="2:6">
      <c r="B1139" s="903"/>
      <c r="C1139" s="903"/>
      <c r="D1139" s="387">
        <v>0</v>
      </c>
      <c r="E1139" s="387">
        <v>0</v>
      </c>
      <c r="F1139" s="387">
        <v>0</v>
      </c>
    </row>
    <row r="1140" spans="2:6">
      <c r="B1140" s="903" t="str">
        <f>B950</f>
        <v>Hlinné - Soľ</v>
      </c>
      <c r="C1140" s="903" t="str">
        <f>C950</f>
        <v>Medzistaničný úsek</v>
      </c>
      <c r="D1140" s="387" t="s">
        <v>341</v>
      </c>
      <c r="E1140" s="387" t="s">
        <v>804</v>
      </c>
      <c r="F1140" s="387">
        <v>0</v>
      </c>
    </row>
    <row r="1141" spans="2:6">
      <c r="B1141" s="903"/>
      <c r="C1141" s="903"/>
      <c r="D1141" s="387" t="s">
        <v>341</v>
      </c>
      <c r="E1141" s="387" t="s">
        <v>805</v>
      </c>
      <c r="F1141" s="387">
        <v>0</v>
      </c>
    </row>
    <row r="1142" spans="2:6">
      <c r="B1142" s="903"/>
      <c r="C1142" s="903"/>
      <c r="D1142" s="387" t="s">
        <v>341</v>
      </c>
      <c r="E1142" s="387" t="s">
        <v>363</v>
      </c>
      <c r="F1142" s="387">
        <v>2.759999999999998</v>
      </c>
    </row>
    <row r="1143" spans="2:6">
      <c r="B1143" s="903" t="str">
        <f>B953</f>
        <v>Soľ</v>
      </c>
      <c r="C1143" s="903" t="str">
        <f>C953</f>
        <v>Stanica</v>
      </c>
      <c r="D1143" s="387">
        <v>0</v>
      </c>
      <c r="E1143" s="387">
        <v>0</v>
      </c>
      <c r="F1143" s="387">
        <v>0</v>
      </c>
    </row>
    <row r="1144" spans="2:6">
      <c r="B1144" s="903"/>
      <c r="C1144" s="903"/>
      <c r="D1144" s="387">
        <v>0</v>
      </c>
      <c r="E1144" s="387">
        <v>0</v>
      </c>
      <c r="F1144" s="387">
        <v>0</v>
      </c>
    </row>
    <row r="1145" spans="2:6">
      <c r="B1145" s="903"/>
      <c r="C1145" s="903"/>
      <c r="D1145" s="387">
        <v>0</v>
      </c>
      <c r="E1145" s="387">
        <v>0</v>
      </c>
      <c r="F1145" s="387">
        <v>0</v>
      </c>
    </row>
    <row r="1146" spans="2:6">
      <c r="B1146" s="903" t="str">
        <f>B956</f>
        <v xml:space="preserve">Soľ  - Komárany </v>
      </c>
      <c r="C1146" s="903" t="str">
        <f>C956</f>
        <v>Medzistaničný úsek</v>
      </c>
      <c r="D1146" s="387" t="s">
        <v>341</v>
      </c>
      <c r="E1146" s="387" t="s">
        <v>804</v>
      </c>
      <c r="F1146" s="387">
        <v>0</v>
      </c>
    </row>
    <row r="1147" spans="2:6">
      <c r="B1147" s="903"/>
      <c r="C1147" s="903"/>
      <c r="D1147" s="387" t="s">
        <v>341</v>
      </c>
      <c r="E1147" s="387" t="s">
        <v>805</v>
      </c>
      <c r="F1147" s="387">
        <v>0</v>
      </c>
    </row>
    <row r="1148" spans="2:6">
      <c r="B1148" s="903"/>
      <c r="C1148" s="903"/>
      <c r="D1148" s="387" t="s">
        <v>341</v>
      </c>
      <c r="E1148" s="387" t="s">
        <v>363</v>
      </c>
      <c r="F1148" s="387">
        <v>3.4750000000000014</v>
      </c>
    </row>
    <row r="1149" spans="2:6">
      <c r="B1149" s="903" t="str">
        <f>B959</f>
        <v>Komárany</v>
      </c>
      <c r="C1149" s="903" t="str">
        <f>C959</f>
        <v>Stanica</v>
      </c>
      <c r="D1149" s="387">
        <v>0</v>
      </c>
      <c r="E1149" s="387">
        <v>0</v>
      </c>
      <c r="F1149" s="387">
        <v>0</v>
      </c>
    </row>
    <row r="1150" spans="2:6">
      <c r="B1150" s="903"/>
      <c r="C1150" s="903"/>
      <c r="D1150" s="387">
        <v>0</v>
      </c>
      <c r="E1150" s="387">
        <v>0</v>
      </c>
      <c r="F1150" s="387">
        <v>0</v>
      </c>
    </row>
    <row r="1151" spans="2:6">
      <c r="B1151" s="903"/>
      <c r="C1151" s="903"/>
      <c r="D1151" s="387">
        <v>0</v>
      </c>
      <c r="E1151" s="387">
        <v>0</v>
      </c>
      <c r="F1151" s="387">
        <v>0</v>
      </c>
    </row>
    <row r="1152" spans="2:6">
      <c r="B1152" s="903" t="str">
        <f>B962</f>
        <v xml:space="preserve">Komárany  - Vranov nad Topľou/mimo/ </v>
      </c>
      <c r="C1152" s="903" t="str">
        <f>C962</f>
        <v>Medzistaničný úsek</v>
      </c>
      <c r="D1152" s="387" t="s">
        <v>341</v>
      </c>
      <c r="E1152" s="387" t="s">
        <v>804</v>
      </c>
      <c r="F1152" s="387">
        <v>0</v>
      </c>
    </row>
    <row r="1153" spans="2:6">
      <c r="B1153" s="903"/>
      <c r="C1153" s="903"/>
      <c r="D1153" s="387" t="s">
        <v>341</v>
      </c>
      <c r="E1153" s="387" t="s">
        <v>805</v>
      </c>
      <c r="F1153" s="387">
        <v>0</v>
      </c>
    </row>
    <row r="1154" spans="2:6">
      <c r="B1154" s="903"/>
      <c r="C1154" s="903"/>
      <c r="D1154" s="387" t="s">
        <v>341</v>
      </c>
      <c r="E1154" s="387" t="s">
        <v>363</v>
      </c>
      <c r="F1154" s="387">
        <v>3.6689999999999987</v>
      </c>
    </row>
    <row r="1155" spans="2:6">
      <c r="B1155" s="903" t="str">
        <f>B965</f>
        <v>Vranov nad Topľou</v>
      </c>
      <c r="C1155" s="903" t="str">
        <f>C965</f>
        <v>Stanica</v>
      </c>
      <c r="D1155" s="387">
        <v>0</v>
      </c>
      <c r="E1155" s="387">
        <v>0</v>
      </c>
      <c r="F1155" s="387">
        <v>0</v>
      </c>
    </row>
    <row r="1156" spans="2:6">
      <c r="B1156" s="903"/>
      <c r="C1156" s="903"/>
      <c r="D1156" s="387">
        <v>0</v>
      </c>
      <c r="E1156" s="387">
        <v>0</v>
      </c>
      <c r="F1156" s="387">
        <v>0</v>
      </c>
    </row>
    <row r="1157" spans="2:6">
      <c r="B1157" s="903"/>
      <c r="C1157" s="903"/>
      <c r="D1157" s="387">
        <v>0</v>
      </c>
      <c r="E1157" s="387">
        <v>0</v>
      </c>
      <c r="F1157" s="387">
        <v>0</v>
      </c>
    </row>
    <row r="1158" spans="2:6">
      <c r="B1158" s="903" t="str">
        <f>B968</f>
        <v>Vranov nad Topľou/mimo/  - Vranovské Dlhé</v>
      </c>
      <c r="C1158" s="903" t="str">
        <f>C968</f>
        <v>Medzistaničný úsek</v>
      </c>
      <c r="D1158" s="387" t="s">
        <v>341</v>
      </c>
      <c r="E1158" s="387" t="s">
        <v>804</v>
      </c>
      <c r="F1158" s="387">
        <v>0</v>
      </c>
    </row>
    <row r="1159" spans="2:6">
      <c r="B1159" s="903"/>
      <c r="C1159" s="903"/>
      <c r="D1159" s="387" t="s">
        <v>341</v>
      </c>
      <c r="E1159" s="387" t="s">
        <v>805</v>
      </c>
      <c r="F1159" s="387">
        <v>0</v>
      </c>
    </row>
    <row r="1160" spans="2:6">
      <c r="B1160" s="903"/>
      <c r="C1160" s="903"/>
      <c r="D1160" s="387" t="s">
        <v>341</v>
      </c>
      <c r="E1160" s="387" t="s">
        <v>363</v>
      </c>
      <c r="F1160" s="387">
        <v>2.2939999999999987</v>
      </c>
    </row>
    <row r="1161" spans="2:6">
      <c r="B1161" s="903" t="str">
        <f>B971</f>
        <v>Vranovské Dlhé</v>
      </c>
      <c r="C1161" s="903" t="str">
        <f>C971</f>
        <v>Stanica</v>
      </c>
      <c r="D1161" s="387">
        <v>0</v>
      </c>
      <c r="E1161" s="387">
        <v>0</v>
      </c>
      <c r="F1161" s="387">
        <v>0</v>
      </c>
    </row>
    <row r="1162" spans="2:6">
      <c r="B1162" s="903"/>
      <c r="C1162" s="903"/>
      <c r="D1162" s="387">
        <v>0</v>
      </c>
      <c r="E1162" s="387">
        <v>0</v>
      </c>
      <c r="F1162" s="387">
        <v>0</v>
      </c>
    </row>
    <row r="1163" spans="2:6">
      <c r="B1163" s="903"/>
      <c r="C1163" s="903"/>
      <c r="D1163" s="387">
        <v>0</v>
      </c>
      <c r="E1163" s="387">
        <v>0</v>
      </c>
      <c r="F1163" s="387">
        <v>0</v>
      </c>
    </row>
    <row r="1164" spans="2:6">
      <c r="B1164" s="903" t="str">
        <f>B974</f>
        <v>Vranovské Dlhé  - Hencovce</v>
      </c>
      <c r="C1164" s="903" t="str">
        <f>C974</f>
        <v>Medzistaničný úsek</v>
      </c>
      <c r="D1164" s="387" t="s">
        <v>341</v>
      </c>
      <c r="E1164" s="387" t="s">
        <v>804</v>
      </c>
      <c r="F1164" s="387">
        <v>0</v>
      </c>
    </row>
    <row r="1165" spans="2:6">
      <c r="B1165" s="903"/>
      <c r="C1165" s="903"/>
      <c r="D1165" s="387" t="s">
        <v>341</v>
      </c>
      <c r="E1165" s="387" t="s">
        <v>805</v>
      </c>
      <c r="F1165" s="387">
        <v>0</v>
      </c>
    </row>
    <row r="1166" spans="2:6">
      <c r="B1166" s="903"/>
      <c r="C1166" s="903"/>
      <c r="D1166" s="387" t="s">
        <v>341</v>
      </c>
      <c r="E1166" s="387" t="s">
        <v>363</v>
      </c>
      <c r="F1166" s="387">
        <v>1.9100000000000001</v>
      </c>
    </row>
    <row r="1167" spans="2:6">
      <c r="B1167" s="903" t="str">
        <f>B977</f>
        <v>Hencovce</v>
      </c>
      <c r="C1167" s="903" t="str">
        <f>C977</f>
        <v>Stanica</v>
      </c>
      <c r="D1167" s="387">
        <v>0</v>
      </c>
      <c r="E1167" s="387">
        <v>0</v>
      </c>
      <c r="F1167" s="387">
        <v>0</v>
      </c>
    </row>
    <row r="1168" spans="2:6">
      <c r="B1168" s="903"/>
      <c r="C1168" s="903"/>
      <c r="D1168" s="387">
        <v>0</v>
      </c>
      <c r="E1168" s="387">
        <v>0</v>
      </c>
      <c r="F1168" s="387">
        <v>0</v>
      </c>
    </row>
    <row r="1169" spans="2:6">
      <c r="B1169" s="903"/>
      <c r="C1169" s="903"/>
      <c r="D1169" s="387">
        <v>0</v>
      </c>
      <c r="E1169" s="387">
        <v>0</v>
      </c>
      <c r="F1169" s="387">
        <v>0</v>
      </c>
    </row>
    <row r="1170" spans="2:6">
      <c r="B1170" s="903" t="str">
        <f>B980</f>
        <v xml:space="preserve">Hencovce  - Nižný Hrabovec/mimo/ </v>
      </c>
      <c r="C1170" s="903" t="str">
        <f>C980</f>
        <v>Medzistaničný úsek</v>
      </c>
      <c r="D1170" s="387" t="s">
        <v>341</v>
      </c>
      <c r="E1170" s="387" t="s">
        <v>804</v>
      </c>
      <c r="F1170" s="387">
        <v>0</v>
      </c>
    </row>
    <row r="1171" spans="2:6">
      <c r="B1171" s="903"/>
      <c r="C1171" s="903"/>
      <c r="D1171" s="387" t="s">
        <v>341</v>
      </c>
      <c r="E1171" s="387" t="s">
        <v>805</v>
      </c>
      <c r="F1171" s="387">
        <v>0</v>
      </c>
    </row>
    <row r="1172" spans="2:6">
      <c r="B1172" s="903"/>
      <c r="C1172" s="903"/>
      <c r="D1172" s="387" t="s">
        <v>341</v>
      </c>
      <c r="E1172" s="387" t="s">
        <v>363</v>
      </c>
      <c r="F1172" s="387">
        <v>2.1619999999999999</v>
      </c>
    </row>
    <row r="1173" spans="2:6">
      <c r="B1173" s="903" t="str">
        <f>B983</f>
        <v>Nižný Hrabovec</v>
      </c>
      <c r="C1173" s="903" t="str">
        <f>C983</f>
        <v>Stanica</v>
      </c>
      <c r="D1173" s="387">
        <v>0</v>
      </c>
      <c r="E1173" s="387">
        <v>0</v>
      </c>
      <c r="F1173" s="387">
        <v>0</v>
      </c>
    </row>
    <row r="1174" spans="2:6">
      <c r="B1174" s="903"/>
      <c r="C1174" s="903"/>
      <c r="D1174" s="387">
        <v>0</v>
      </c>
      <c r="E1174" s="387">
        <v>0</v>
      </c>
      <c r="F1174" s="387">
        <v>0</v>
      </c>
    </row>
    <row r="1175" spans="2:6">
      <c r="B1175" s="903"/>
      <c r="C1175" s="903"/>
      <c r="D1175" s="387">
        <v>0</v>
      </c>
      <c r="E1175" s="387">
        <v>0</v>
      </c>
      <c r="F1175" s="387">
        <v>0</v>
      </c>
    </row>
    <row r="1176" spans="2:6">
      <c r="B1176" s="903" t="str">
        <f>B986</f>
        <v xml:space="preserve">Nižný Hrabovec/mimo/  - Strážske/mimo/ </v>
      </c>
      <c r="C1176" s="903" t="str">
        <f>C986</f>
        <v>Medzistaničný úsek</v>
      </c>
      <c r="D1176" s="387" t="s">
        <v>341</v>
      </c>
      <c r="E1176" s="387" t="s">
        <v>804</v>
      </c>
      <c r="F1176" s="387">
        <v>0</v>
      </c>
    </row>
    <row r="1177" spans="2:6">
      <c r="B1177" s="903"/>
      <c r="C1177" s="903"/>
      <c r="D1177" s="387" t="s">
        <v>341</v>
      </c>
      <c r="E1177" s="387" t="s">
        <v>805</v>
      </c>
      <c r="F1177" s="387">
        <v>0</v>
      </c>
    </row>
    <row r="1178" spans="2:6">
      <c r="B1178" s="903"/>
      <c r="C1178" s="903"/>
      <c r="D1178" s="387" t="s">
        <v>341</v>
      </c>
      <c r="E1178" s="387" t="s">
        <v>363</v>
      </c>
      <c r="F1178" s="387">
        <v>6.6140000000000008</v>
      </c>
    </row>
    <row r="1179" spans="2:6">
      <c r="B1179" s="903" t="str">
        <f>B989</f>
        <v>Strážske</v>
      </c>
      <c r="C1179" s="903" t="str">
        <f>C989</f>
        <v>Stanica</v>
      </c>
      <c r="D1179" s="387">
        <v>0</v>
      </c>
      <c r="E1179" s="387">
        <v>0</v>
      </c>
      <c r="F1179" s="387">
        <v>0</v>
      </c>
    </row>
    <row r="1180" spans="2:6">
      <c r="B1180" s="903"/>
      <c r="C1180" s="903"/>
      <c r="D1180" s="387">
        <v>0</v>
      </c>
      <c r="E1180" s="387">
        <v>0</v>
      </c>
      <c r="F1180" s="387">
        <v>0</v>
      </c>
    </row>
    <row r="1181" spans="2:6">
      <c r="B1181" s="903"/>
      <c r="C1181" s="903"/>
      <c r="D1181" s="387">
        <v>0</v>
      </c>
      <c r="E1181" s="387">
        <v>0</v>
      </c>
      <c r="F1181" s="387">
        <v>0</v>
      </c>
    </row>
    <row r="1182" spans="2:6">
      <c r="B1182" s="903" t="str">
        <f>B992</f>
        <v>Kapušany pri Prešove/mimo/ - Fulianka/mimo/</v>
      </c>
      <c r="C1182" s="903" t="str">
        <f>C992</f>
        <v>Medzistaničný úsek</v>
      </c>
      <c r="D1182" s="387" t="s">
        <v>341</v>
      </c>
      <c r="E1182" s="387" t="s">
        <v>804</v>
      </c>
      <c r="F1182" s="387">
        <v>0</v>
      </c>
    </row>
    <row r="1183" spans="2:6">
      <c r="B1183" s="903"/>
      <c r="C1183" s="903"/>
      <c r="D1183" s="387" t="s">
        <v>341</v>
      </c>
      <c r="E1183" s="387" t="s">
        <v>805</v>
      </c>
      <c r="F1183" s="387">
        <v>0</v>
      </c>
    </row>
    <row r="1184" spans="2:6">
      <c r="B1184" s="903"/>
      <c r="C1184" s="903"/>
      <c r="D1184" s="387" t="s">
        <v>341</v>
      </c>
      <c r="E1184" s="387" t="s">
        <v>363</v>
      </c>
      <c r="F1184" s="387">
        <v>3.4369999999999994</v>
      </c>
    </row>
    <row r="1185" spans="2:6">
      <c r="B1185" s="903" t="str">
        <f t="shared" ref="B1185:C1185" si="140">B995</f>
        <v>Fulianka</v>
      </c>
      <c r="C1185" s="903" t="str">
        <f t="shared" si="140"/>
        <v>Stanica</v>
      </c>
      <c r="D1185" s="387">
        <v>0</v>
      </c>
      <c r="E1185" s="387">
        <v>0</v>
      </c>
      <c r="F1185" s="387">
        <v>0</v>
      </c>
    </row>
    <row r="1186" spans="2:6">
      <c r="B1186" s="903"/>
      <c r="C1186" s="903"/>
      <c r="D1186" s="387">
        <v>0</v>
      </c>
      <c r="E1186" s="387">
        <v>0</v>
      </c>
      <c r="F1186" s="387">
        <v>0</v>
      </c>
    </row>
    <row r="1187" spans="2:6">
      <c r="B1187" s="903"/>
      <c r="C1187" s="903"/>
      <c r="D1187" s="387">
        <v>0</v>
      </c>
      <c r="E1187" s="387">
        <v>0</v>
      </c>
      <c r="F1187" s="387">
        <v>0</v>
      </c>
    </row>
    <row r="1188" spans="2:6">
      <c r="B1188" s="903" t="str">
        <f t="shared" ref="B1188:C1188" si="141">B998</f>
        <v>Fulianka/mimo/ - Tulčík/mimo/</v>
      </c>
      <c r="C1188" s="903" t="str">
        <f t="shared" si="141"/>
        <v>Medzistaničný úsek</v>
      </c>
      <c r="D1188" s="387" t="s">
        <v>341</v>
      </c>
      <c r="E1188" s="387" t="s">
        <v>804</v>
      </c>
      <c r="F1188" s="387">
        <v>0</v>
      </c>
    </row>
    <row r="1189" spans="2:6">
      <c r="B1189" s="903"/>
      <c r="C1189" s="903"/>
      <c r="D1189" s="387" t="s">
        <v>341</v>
      </c>
      <c r="E1189" s="387" t="s">
        <v>805</v>
      </c>
      <c r="F1189" s="387">
        <v>0</v>
      </c>
    </row>
    <row r="1190" spans="2:6">
      <c r="B1190" s="903"/>
      <c r="C1190" s="903"/>
      <c r="D1190" s="387" t="s">
        <v>341</v>
      </c>
      <c r="E1190" s="387" t="s">
        <v>363</v>
      </c>
      <c r="F1190" s="387">
        <v>3.1420000000000012</v>
      </c>
    </row>
    <row r="1191" spans="2:6">
      <c r="B1191" s="903" t="str">
        <f t="shared" ref="B1191:C1191" si="142">B1001</f>
        <v>Tulčík</v>
      </c>
      <c r="C1191" s="903" t="str">
        <f t="shared" si="142"/>
        <v>Stanica</v>
      </c>
      <c r="D1191" s="387">
        <v>0</v>
      </c>
      <c r="E1191" s="387">
        <v>0</v>
      </c>
      <c r="F1191" s="387">
        <v>0</v>
      </c>
    </row>
    <row r="1192" spans="2:6">
      <c r="B1192" s="903"/>
      <c r="C1192" s="903"/>
      <c r="D1192" s="387">
        <v>0</v>
      </c>
      <c r="E1192" s="387">
        <v>0</v>
      </c>
      <c r="F1192" s="387">
        <v>0</v>
      </c>
    </row>
    <row r="1193" spans="2:6">
      <c r="B1193" s="903"/>
      <c r="C1193" s="903"/>
      <c r="D1193" s="387">
        <v>0</v>
      </c>
      <c r="E1193" s="387">
        <v>0</v>
      </c>
      <c r="F1193" s="387">
        <v>0</v>
      </c>
    </row>
    <row r="1194" spans="2:6">
      <c r="B1194" s="903" t="str">
        <f t="shared" ref="B1194:C1194" si="143">B1004</f>
        <v>Tulčík/mimo/ - Demjata/mimo/</v>
      </c>
      <c r="C1194" s="903" t="str">
        <f t="shared" si="143"/>
        <v>Medzistaničný úsek</v>
      </c>
      <c r="D1194" s="387" t="s">
        <v>341</v>
      </c>
      <c r="E1194" s="387" t="s">
        <v>804</v>
      </c>
      <c r="F1194" s="387">
        <v>0</v>
      </c>
    </row>
    <row r="1195" spans="2:6">
      <c r="B1195" s="903"/>
      <c r="C1195" s="903"/>
      <c r="D1195" s="387" t="s">
        <v>341</v>
      </c>
      <c r="E1195" s="387" t="s">
        <v>805</v>
      </c>
      <c r="F1195" s="387">
        <v>0</v>
      </c>
    </row>
    <row r="1196" spans="2:6">
      <c r="B1196" s="903"/>
      <c r="C1196" s="903"/>
      <c r="D1196" s="387" t="s">
        <v>341</v>
      </c>
      <c r="E1196" s="387" t="s">
        <v>363</v>
      </c>
      <c r="F1196" s="387">
        <v>1.4499999999999993</v>
      </c>
    </row>
    <row r="1197" spans="2:6">
      <c r="B1197" s="903" t="str">
        <f t="shared" ref="B1197:C1197" si="144">B1007</f>
        <v>Demjata</v>
      </c>
      <c r="C1197" s="903" t="str">
        <f t="shared" si="144"/>
        <v>Stanica</v>
      </c>
      <c r="D1197" s="387">
        <v>0</v>
      </c>
      <c r="E1197" s="387">
        <v>0</v>
      </c>
      <c r="F1197" s="387">
        <v>0</v>
      </c>
    </row>
    <row r="1198" spans="2:6">
      <c r="B1198" s="903"/>
      <c r="C1198" s="903"/>
      <c r="D1198" s="387">
        <v>0</v>
      </c>
      <c r="E1198" s="387">
        <v>0</v>
      </c>
      <c r="F1198" s="387">
        <v>0</v>
      </c>
    </row>
    <row r="1199" spans="2:6">
      <c r="B1199" s="903"/>
      <c r="C1199" s="903"/>
      <c r="D1199" s="387">
        <v>0</v>
      </c>
      <c r="E1199" s="387">
        <v>0</v>
      </c>
      <c r="F1199" s="387">
        <v>0</v>
      </c>
    </row>
    <row r="1200" spans="2:6">
      <c r="B1200" s="903" t="str">
        <f t="shared" ref="B1200:C1200" si="145">B1010</f>
        <v>Demjata/mimo/ - Demjata obec/mimo/</v>
      </c>
      <c r="C1200" s="903" t="str">
        <f t="shared" si="145"/>
        <v>Medzistaničný úsek</v>
      </c>
      <c r="D1200" s="387" t="s">
        <v>341</v>
      </c>
      <c r="E1200" s="387" t="s">
        <v>804</v>
      </c>
      <c r="F1200" s="387">
        <v>0</v>
      </c>
    </row>
    <row r="1201" spans="2:6">
      <c r="B1201" s="903"/>
      <c r="C1201" s="903"/>
      <c r="D1201" s="387" t="s">
        <v>341</v>
      </c>
      <c r="E1201" s="387" t="s">
        <v>805</v>
      </c>
      <c r="F1201" s="387">
        <v>0</v>
      </c>
    </row>
    <row r="1202" spans="2:6">
      <c r="B1202" s="903"/>
      <c r="C1202" s="903"/>
      <c r="D1202" s="387" t="s">
        <v>341</v>
      </c>
      <c r="E1202" s="387" t="s">
        <v>363</v>
      </c>
      <c r="F1202" s="387">
        <v>0.85899999999999821</v>
      </c>
    </row>
    <row r="1203" spans="2:6">
      <c r="B1203" s="903" t="str">
        <f t="shared" ref="B1203:C1203" si="146">B1013</f>
        <v>Demjata obec</v>
      </c>
      <c r="C1203" s="903" t="str">
        <f t="shared" si="146"/>
        <v>Stanica</v>
      </c>
      <c r="D1203" s="387">
        <v>0</v>
      </c>
      <c r="E1203" s="387">
        <v>0</v>
      </c>
      <c r="F1203" s="387">
        <v>0</v>
      </c>
    </row>
    <row r="1204" spans="2:6">
      <c r="B1204" s="903"/>
      <c r="C1204" s="903"/>
      <c r="D1204" s="387">
        <v>0</v>
      </c>
      <c r="E1204" s="387">
        <v>0</v>
      </c>
      <c r="F1204" s="387">
        <v>0</v>
      </c>
    </row>
    <row r="1205" spans="2:6">
      <c r="B1205" s="903"/>
      <c r="C1205" s="903"/>
      <c r="D1205" s="387">
        <v>0</v>
      </c>
      <c r="E1205" s="387">
        <v>0</v>
      </c>
      <c r="F1205" s="387">
        <v>0</v>
      </c>
    </row>
    <row r="1206" spans="2:6">
      <c r="B1206" s="903" t="str">
        <f t="shared" ref="B1206:C1206" si="147">B1016</f>
        <v>Demjata obec/mimo/ - Raslavice/mimo/</v>
      </c>
      <c r="C1206" s="903" t="str">
        <f t="shared" si="147"/>
        <v>Medzistaničný úsek</v>
      </c>
      <c r="D1206" s="387" t="s">
        <v>341</v>
      </c>
      <c r="E1206" s="387" t="s">
        <v>804</v>
      </c>
      <c r="F1206" s="387">
        <v>0</v>
      </c>
    </row>
    <row r="1207" spans="2:6">
      <c r="B1207" s="903"/>
      <c r="C1207" s="903"/>
      <c r="D1207" s="387" t="s">
        <v>341</v>
      </c>
      <c r="E1207" s="387" t="s">
        <v>805</v>
      </c>
      <c r="F1207" s="387">
        <v>0</v>
      </c>
    </row>
    <row r="1208" spans="2:6">
      <c r="B1208" s="903"/>
      <c r="C1208" s="903"/>
      <c r="D1208" s="387" t="s">
        <v>341</v>
      </c>
      <c r="E1208" s="387" t="s">
        <v>363</v>
      </c>
      <c r="F1208" s="387">
        <v>4.9460000000000015</v>
      </c>
    </row>
    <row r="1209" spans="2:6">
      <c r="B1209" s="903" t="str">
        <f t="shared" ref="B1209:C1209" si="148">B1019</f>
        <v>Raslavice</v>
      </c>
      <c r="C1209" s="903" t="str">
        <f t="shared" si="148"/>
        <v>Stanica</v>
      </c>
      <c r="D1209" s="387">
        <v>0</v>
      </c>
      <c r="E1209" s="387">
        <v>0</v>
      </c>
      <c r="F1209" s="387">
        <v>0</v>
      </c>
    </row>
    <row r="1210" spans="2:6">
      <c r="B1210" s="903"/>
      <c r="C1210" s="903"/>
      <c r="D1210" s="387">
        <v>0</v>
      </c>
      <c r="E1210" s="387">
        <v>0</v>
      </c>
      <c r="F1210" s="387">
        <v>0</v>
      </c>
    </row>
    <row r="1211" spans="2:6">
      <c r="B1211" s="903"/>
      <c r="C1211" s="903"/>
      <c r="D1211" s="387">
        <v>0</v>
      </c>
      <c r="E1211" s="387">
        <v>0</v>
      </c>
      <c r="F1211" s="387">
        <v>0</v>
      </c>
    </row>
    <row r="1212" spans="2:6">
      <c r="D1212" s="387"/>
      <c r="E1212" s="387"/>
      <c r="F1212" s="387"/>
    </row>
    <row r="1215" spans="2:6">
      <c r="B1215" s="415" t="s">
        <v>369</v>
      </c>
      <c r="C1215" s="904" t="s">
        <v>367</v>
      </c>
      <c r="D1215" s="904"/>
      <c r="E1215" s="905" t="s">
        <v>368</v>
      </c>
    </row>
    <row r="1216" spans="2:6">
      <c r="B1216" s="395" t="s">
        <v>325</v>
      </c>
      <c r="C1216" s="396" t="s">
        <v>364</v>
      </c>
      <c r="D1216" s="396" t="s">
        <v>365</v>
      </c>
      <c r="E1216" s="906"/>
    </row>
    <row r="1217" spans="2:7">
      <c r="B1217" s="416" t="s">
        <v>327</v>
      </c>
      <c r="C1217" s="479">
        <f>Parametre!C108</f>
        <v>32851.895103171992</v>
      </c>
      <c r="D1217" s="479">
        <f>Parametre!D108</f>
        <v>16929.434866357074</v>
      </c>
      <c r="E1217" s="479">
        <f>Parametre!E108</f>
        <v>8076.666976845906</v>
      </c>
    </row>
    <row r="1218" spans="2:7">
      <c r="B1218" s="416" t="s">
        <v>328</v>
      </c>
      <c r="C1218" s="479">
        <f>Parametre!C109</f>
        <v>27412.666858106193</v>
      </c>
      <c r="D1218" s="479">
        <f>Parametre!D109</f>
        <v>9944.526652369701</v>
      </c>
      <c r="E1218" s="479">
        <f>Parametre!E109</f>
        <v>7200.1294754827841</v>
      </c>
    </row>
    <row r="1219" spans="2:7">
      <c r="B1219" s="399" t="s">
        <v>744</v>
      </c>
      <c r="C1219" s="331"/>
      <c r="D1219" s="331"/>
      <c r="E1219" s="331"/>
    </row>
    <row r="1220" spans="2:7" ht="15.75" thickBot="1"/>
    <row r="1221" spans="2:7" ht="40.5" customHeight="1">
      <c r="B1221" s="399"/>
      <c r="C1221" s="907" t="s">
        <v>599</v>
      </c>
      <c r="D1221" s="909" t="s">
        <v>840</v>
      </c>
      <c r="E1221" s="910"/>
      <c r="F1221" s="909" t="s">
        <v>841</v>
      </c>
      <c r="G1221" s="910"/>
    </row>
    <row r="1222" spans="2:7" ht="15.75" thickBot="1">
      <c r="B1222" s="399"/>
      <c r="C1222" s="908"/>
      <c r="D1222" s="400" t="s">
        <v>671</v>
      </c>
      <c r="E1222" s="401" t="s">
        <v>672</v>
      </c>
      <c r="F1222" s="400" t="s">
        <v>671</v>
      </c>
      <c r="G1222" s="401" t="s">
        <v>672</v>
      </c>
    </row>
    <row r="1223" spans="2:7">
      <c r="B1223" s="402" t="s">
        <v>745</v>
      </c>
      <c r="C1223" s="480">
        <f>SUMIFS(E1229:E1363,D1229:D1363,C1216)</f>
        <v>8.157</v>
      </c>
      <c r="D1223" s="486">
        <f>C1223-E1223</f>
        <v>8.157</v>
      </c>
      <c r="E1223" s="482">
        <v>0</v>
      </c>
      <c r="F1223" s="486">
        <f>C1223-G1223</f>
        <v>8.157</v>
      </c>
      <c r="G1223" s="482">
        <v>0</v>
      </c>
    </row>
    <row r="1224" spans="2:7">
      <c r="B1224" s="407" t="s">
        <v>746</v>
      </c>
      <c r="C1224" s="408">
        <f>SUMIFS(E1229:E1363,D1229:D1363,D1216)</f>
        <v>0</v>
      </c>
      <c r="D1224" s="487">
        <f>C1224-E1224</f>
        <v>0</v>
      </c>
      <c r="E1224" s="442">
        <v>0</v>
      </c>
      <c r="F1224" s="487">
        <f>C1224-G1224</f>
        <v>0</v>
      </c>
      <c r="G1224" s="442">
        <v>0</v>
      </c>
    </row>
    <row r="1225" spans="2:7" ht="15.75" thickBot="1">
      <c r="B1225" s="410" t="s">
        <v>747</v>
      </c>
      <c r="C1225" s="424">
        <f>SUMIFS(E1229:E1363,D1229:D1363,E1215)</f>
        <v>24.819999999999997</v>
      </c>
      <c r="D1225" s="488">
        <f>C1225-E1225</f>
        <v>24.819999999999997</v>
      </c>
      <c r="E1225" s="446">
        <v>0</v>
      </c>
      <c r="F1225" s="488">
        <f>C1225-G1225</f>
        <v>24.819999999999997</v>
      </c>
      <c r="G1225" s="446">
        <v>0</v>
      </c>
    </row>
    <row r="1228" spans="2:7" ht="45">
      <c r="D1228" s="371" t="s">
        <v>742</v>
      </c>
      <c r="E1228" s="414" t="s">
        <v>748</v>
      </c>
    </row>
    <row r="1229" spans="2:7">
      <c r="B1229" s="903" t="str">
        <f>B887</f>
        <v>Prešov</v>
      </c>
      <c r="C1229" s="903" t="str">
        <f>C887</f>
        <v>Stanica</v>
      </c>
      <c r="D1229" s="387" t="s">
        <v>364</v>
      </c>
      <c r="E1229" s="387">
        <v>8.157</v>
      </c>
    </row>
    <row r="1230" spans="2:7">
      <c r="B1230" s="903"/>
      <c r="C1230" s="903"/>
      <c r="D1230" s="387" t="s">
        <v>365</v>
      </c>
      <c r="E1230" s="387">
        <v>0</v>
      </c>
    </row>
    <row r="1231" spans="2:7">
      <c r="B1231" s="903"/>
      <c r="C1231" s="903"/>
      <c r="D1231" s="387" t="s">
        <v>368</v>
      </c>
      <c r="E1231" s="387">
        <v>0</v>
      </c>
    </row>
    <row r="1232" spans="2:7">
      <c r="B1232" s="903" t="str">
        <f>B890</f>
        <v xml:space="preserve">Prešov/mimo/ - Šarišské Lúky/mimo/ </v>
      </c>
      <c r="C1232" s="903" t="str">
        <f>C890</f>
        <v>Medzistaničný úsek</v>
      </c>
      <c r="D1232" s="387">
        <v>0</v>
      </c>
      <c r="E1232" s="387">
        <v>0</v>
      </c>
    </row>
    <row r="1233" spans="2:5">
      <c r="B1233" s="903"/>
      <c r="C1233" s="903"/>
      <c r="D1233" s="387">
        <v>0</v>
      </c>
      <c r="E1233" s="387">
        <v>0</v>
      </c>
    </row>
    <row r="1234" spans="2:5">
      <c r="B1234" s="903"/>
      <c r="C1234" s="903"/>
      <c r="D1234" s="387">
        <v>0</v>
      </c>
      <c r="E1234" s="387">
        <v>0</v>
      </c>
    </row>
    <row r="1235" spans="2:5">
      <c r="B1235" s="903" t="str">
        <f>B893</f>
        <v>Šarišské Lúky</v>
      </c>
      <c r="C1235" s="903" t="str">
        <f>C893</f>
        <v>Stanica</v>
      </c>
      <c r="D1235" s="384" t="s">
        <v>364</v>
      </c>
      <c r="E1235" s="384">
        <v>0</v>
      </c>
    </row>
    <row r="1236" spans="2:5">
      <c r="B1236" s="903"/>
      <c r="C1236" s="903"/>
      <c r="D1236" s="384" t="s">
        <v>365</v>
      </c>
      <c r="E1236" s="384">
        <v>0</v>
      </c>
    </row>
    <row r="1237" spans="2:5">
      <c r="B1237" s="903"/>
      <c r="C1237" s="903"/>
      <c r="D1237" s="384" t="s">
        <v>368</v>
      </c>
      <c r="E1237" s="431">
        <v>2.449999999999994</v>
      </c>
    </row>
    <row r="1238" spans="2:5">
      <c r="B1238" s="903" t="str">
        <f>B896</f>
        <v xml:space="preserve">Šarišské Lúky/mimo/  - Kapušany pri Prešove/mimo/ </v>
      </c>
      <c r="C1238" s="903" t="str">
        <f>C896</f>
        <v>Medzistaničný úsek</v>
      </c>
      <c r="D1238" s="387">
        <v>0</v>
      </c>
      <c r="E1238" s="387">
        <v>0</v>
      </c>
    </row>
    <row r="1239" spans="2:5">
      <c r="B1239" s="903"/>
      <c r="C1239" s="903"/>
      <c r="D1239" s="387">
        <v>0</v>
      </c>
      <c r="E1239" s="387">
        <v>0</v>
      </c>
    </row>
    <row r="1240" spans="2:5">
      <c r="B1240" s="903"/>
      <c r="C1240" s="903"/>
      <c r="D1240" s="387">
        <v>0</v>
      </c>
      <c r="E1240" s="387">
        <v>0</v>
      </c>
    </row>
    <row r="1241" spans="2:5">
      <c r="B1241" s="903" t="str">
        <f>B899</f>
        <v>Kapušany pri Prešove</v>
      </c>
      <c r="C1241" s="903" t="str">
        <f>C899</f>
        <v>Stanica</v>
      </c>
      <c r="D1241" s="384" t="s">
        <v>364</v>
      </c>
      <c r="E1241" s="384">
        <v>0</v>
      </c>
    </row>
    <row r="1242" spans="2:5">
      <c r="B1242" s="903"/>
      <c r="C1242" s="903"/>
      <c r="D1242" s="384" t="s">
        <v>365</v>
      </c>
      <c r="E1242" s="384">
        <v>0</v>
      </c>
    </row>
    <row r="1243" spans="2:5">
      <c r="B1243" s="903"/>
      <c r="C1243" s="903"/>
      <c r="D1243" s="384" t="s">
        <v>368</v>
      </c>
      <c r="E1243" s="384">
        <v>3.503000000000001</v>
      </c>
    </row>
    <row r="1244" spans="2:5">
      <c r="B1244" s="903" t="str">
        <f>B902</f>
        <v>Kapušany pri Prešove/mimo/  - Lada</v>
      </c>
      <c r="C1244" s="903" t="str">
        <f>C902</f>
        <v>Medzistaničný úsek</v>
      </c>
      <c r="D1244" s="387">
        <v>0</v>
      </c>
      <c r="E1244" s="387">
        <v>0</v>
      </c>
    </row>
    <row r="1245" spans="2:5">
      <c r="B1245" s="903"/>
      <c r="C1245" s="903"/>
      <c r="D1245" s="387">
        <v>0</v>
      </c>
      <c r="E1245" s="387">
        <v>0</v>
      </c>
    </row>
    <row r="1246" spans="2:5">
      <c r="B1246" s="903"/>
      <c r="C1246" s="903"/>
      <c r="D1246" s="387">
        <v>0</v>
      </c>
      <c r="E1246" s="387">
        <v>0</v>
      </c>
    </row>
    <row r="1247" spans="2:5">
      <c r="B1247" s="903" t="str">
        <f>B905</f>
        <v>Lada</v>
      </c>
      <c r="C1247" s="903" t="str">
        <f>C905</f>
        <v>Stanica</v>
      </c>
      <c r="D1247" s="384" t="s">
        <v>364</v>
      </c>
      <c r="E1247" s="384">
        <v>0</v>
      </c>
    </row>
    <row r="1248" spans="2:5">
      <c r="B1248" s="903"/>
      <c r="C1248" s="903"/>
      <c r="D1248" s="384" t="s">
        <v>365</v>
      </c>
      <c r="E1248" s="384">
        <v>0</v>
      </c>
    </row>
    <row r="1249" spans="2:5">
      <c r="B1249" s="903"/>
      <c r="C1249" s="903"/>
      <c r="D1249" s="384" t="s">
        <v>368</v>
      </c>
      <c r="E1249" s="384">
        <v>0</v>
      </c>
    </row>
    <row r="1250" spans="2:5">
      <c r="B1250" s="903" t="str">
        <f>B908</f>
        <v xml:space="preserve">Lada  - Lipníky/mimo/ </v>
      </c>
      <c r="C1250" s="903" t="str">
        <f>C908</f>
        <v>Medzistaničný úsek</v>
      </c>
      <c r="D1250" s="387">
        <v>0</v>
      </c>
      <c r="E1250" s="387">
        <v>0</v>
      </c>
    </row>
    <row r="1251" spans="2:5">
      <c r="B1251" s="903"/>
      <c r="C1251" s="903"/>
      <c r="D1251" s="387">
        <v>0</v>
      </c>
      <c r="E1251" s="387">
        <v>0</v>
      </c>
    </row>
    <row r="1252" spans="2:5">
      <c r="B1252" s="903"/>
      <c r="C1252" s="903"/>
      <c r="D1252" s="387">
        <v>0</v>
      </c>
      <c r="E1252" s="387">
        <v>0</v>
      </c>
    </row>
    <row r="1253" spans="2:5">
      <c r="B1253" s="903" t="str">
        <f>B911</f>
        <v>Lipníky</v>
      </c>
      <c r="C1253" s="903" t="str">
        <f>C911</f>
        <v>Stanica</v>
      </c>
      <c r="D1253" s="384" t="s">
        <v>364</v>
      </c>
      <c r="E1253" s="384">
        <v>0</v>
      </c>
    </row>
    <row r="1254" spans="2:5">
      <c r="B1254" s="903"/>
      <c r="C1254" s="903"/>
      <c r="D1254" s="384" t="s">
        <v>365</v>
      </c>
      <c r="E1254" s="384">
        <v>0</v>
      </c>
    </row>
    <row r="1255" spans="2:5">
      <c r="B1255" s="903"/>
      <c r="C1255" s="903"/>
      <c r="D1255" s="384" t="s">
        <v>368</v>
      </c>
      <c r="E1255" s="384">
        <v>1.5180000000000002</v>
      </c>
    </row>
    <row r="1256" spans="2:5">
      <c r="B1256" s="903" t="str">
        <f>B914</f>
        <v>Lipníky/mimo/  - Pavlovce</v>
      </c>
      <c r="C1256" s="903" t="str">
        <f>C914</f>
        <v>Medzistaničný úsek</v>
      </c>
      <c r="D1256" s="387">
        <v>0</v>
      </c>
      <c r="E1256" s="387">
        <v>0</v>
      </c>
    </row>
    <row r="1257" spans="2:5">
      <c r="B1257" s="903"/>
      <c r="C1257" s="903"/>
      <c r="D1257" s="387">
        <v>0</v>
      </c>
      <c r="E1257" s="387">
        <v>0</v>
      </c>
    </row>
    <row r="1258" spans="2:5">
      <c r="B1258" s="903"/>
      <c r="C1258" s="903"/>
      <c r="D1258" s="387">
        <v>0</v>
      </c>
      <c r="E1258" s="387">
        <v>0</v>
      </c>
    </row>
    <row r="1259" spans="2:5">
      <c r="B1259" s="903" t="str">
        <f>B917</f>
        <v>Pavlovce</v>
      </c>
      <c r="C1259" s="903" t="str">
        <f>C917</f>
        <v>Stanica</v>
      </c>
      <c r="D1259" s="384" t="s">
        <v>364</v>
      </c>
      <c r="E1259" s="384">
        <v>0</v>
      </c>
    </row>
    <row r="1260" spans="2:5">
      <c r="B1260" s="903"/>
      <c r="C1260" s="903"/>
      <c r="D1260" s="384" t="s">
        <v>365</v>
      </c>
      <c r="E1260" s="384">
        <v>0</v>
      </c>
    </row>
    <row r="1261" spans="2:5">
      <c r="B1261" s="903"/>
      <c r="C1261" s="903"/>
      <c r="D1261" s="384" t="s">
        <v>368</v>
      </c>
      <c r="E1261" s="384">
        <v>0</v>
      </c>
    </row>
    <row r="1262" spans="2:5">
      <c r="B1262" s="903" t="str">
        <f>B920</f>
        <v>Pavlovce  - Hanušovce nad Topľou mesto</v>
      </c>
      <c r="C1262" s="903" t="str">
        <f>C920</f>
        <v>Medzistaničný úsek</v>
      </c>
      <c r="D1262" s="387">
        <v>0</v>
      </c>
      <c r="E1262" s="387">
        <v>0</v>
      </c>
    </row>
    <row r="1263" spans="2:5">
      <c r="B1263" s="903"/>
      <c r="C1263" s="903"/>
      <c r="D1263" s="387">
        <v>0</v>
      </c>
      <c r="E1263" s="387">
        <v>0</v>
      </c>
    </row>
    <row r="1264" spans="2:5">
      <c r="B1264" s="903"/>
      <c r="C1264" s="903"/>
      <c r="D1264" s="387">
        <v>0</v>
      </c>
      <c r="E1264" s="387">
        <v>0</v>
      </c>
    </row>
    <row r="1265" spans="2:5">
      <c r="B1265" s="903" t="str">
        <f>B923</f>
        <v>Hanušovce nad Topľou mesto</v>
      </c>
      <c r="C1265" s="903" t="str">
        <f>C923</f>
        <v>Stanica</v>
      </c>
      <c r="D1265" s="384" t="s">
        <v>364</v>
      </c>
      <c r="E1265" s="384">
        <v>0</v>
      </c>
    </row>
    <row r="1266" spans="2:5">
      <c r="B1266" s="903"/>
      <c r="C1266" s="903"/>
      <c r="D1266" s="384" t="s">
        <v>365</v>
      </c>
      <c r="E1266" s="384">
        <v>0</v>
      </c>
    </row>
    <row r="1267" spans="2:5">
      <c r="B1267" s="903"/>
      <c r="C1267" s="903"/>
      <c r="D1267" s="384" t="s">
        <v>368</v>
      </c>
      <c r="E1267" s="384">
        <v>0</v>
      </c>
    </row>
    <row r="1268" spans="2:5">
      <c r="B1268" s="903" t="str">
        <f>B926</f>
        <v xml:space="preserve">Hanušovce nad Topľou mesto  - Hanušovce nad Topľou/mimo/ </v>
      </c>
      <c r="C1268" s="903" t="str">
        <f>C926</f>
        <v>Medzistaničný úsek</v>
      </c>
      <c r="D1268" s="387">
        <v>0</v>
      </c>
      <c r="E1268" s="387">
        <v>0</v>
      </c>
    </row>
    <row r="1269" spans="2:5">
      <c r="B1269" s="903"/>
      <c r="C1269" s="903"/>
      <c r="D1269" s="387">
        <v>0</v>
      </c>
      <c r="E1269" s="387">
        <v>0</v>
      </c>
    </row>
    <row r="1270" spans="2:5">
      <c r="B1270" s="903"/>
      <c r="C1270" s="903"/>
      <c r="D1270" s="387">
        <v>0</v>
      </c>
      <c r="E1270" s="387">
        <v>0</v>
      </c>
    </row>
    <row r="1271" spans="2:5">
      <c r="B1271" s="903" t="str">
        <f>B929</f>
        <v>Hanušovce nad Topľou</v>
      </c>
      <c r="C1271" s="903" t="str">
        <f>C929</f>
        <v>Stanica</v>
      </c>
      <c r="D1271" s="384" t="s">
        <v>364</v>
      </c>
      <c r="E1271" s="384">
        <v>0</v>
      </c>
    </row>
    <row r="1272" spans="2:5">
      <c r="B1272" s="903"/>
      <c r="C1272" s="903"/>
      <c r="D1272" s="384" t="s">
        <v>365</v>
      </c>
      <c r="E1272" s="384">
        <v>0</v>
      </c>
    </row>
    <row r="1273" spans="2:5">
      <c r="B1273" s="903"/>
      <c r="C1273" s="903"/>
      <c r="D1273" s="384" t="s">
        <v>368</v>
      </c>
      <c r="E1273" s="384">
        <v>2.069</v>
      </c>
    </row>
    <row r="1274" spans="2:5">
      <c r="B1274" s="903" t="str">
        <f>B932</f>
        <v>Hanušovce nad Topľou/mimo/  - Bystré</v>
      </c>
      <c r="C1274" s="903" t="str">
        <f>C932</f>
        <v>Medzistaničný úsek</v>
      </c>
      <c r="D1274" s="387">
        <v>0</v>
      </c>
      <c r="E1274" s="387">
        <v>0</v>
      </c>
    </row>
    <row r="1275" spans="2:5">
      <c r="B1275" s="903"/>
      <c r="C1275" s="903"/>
      <c r="D1275" s="387">
        <v>0</v>
      </c>
      <c r="E1275" s="387">
        <v>0</v>
      </c>
    </row>
    <row r="1276" spans="2:5">
      <c r="B1276" s="903"/>
      <c r="C1276" s="903"/>
      <c r="D1276" s="387">
        <v>0</v>
      </c>
      <c r="E1276" s="387">
        <v>0</v>
      </c>
    </row>
    <row r="1277" spans="2:5">
      <c r="B1277" s="903" t="str">
        <f>B935</f>
        <v>Bystré</v>
      </c>
      <c r="C1277" s="903" t="str">
        <f>C935</f>
        <v>Stanica</v>
      </c>
      <c r="D1277" s="384" t="s">
        <v>364</v>
      </c>
      <c r="E1277" s="384">
        <v>0</v>
      </c>
    </row>
    <row r="1278" spans="2:5">
      <c r="B1278" s="903"/>
      <c r="C1278" s="903"/>
      <c r="D1278" s="384" t="s">
        <v>365</v>
      </c>
      <c r="E1278" s="384">
        <v>0</v>
      </c>
    </row>
    <row r="1279" spans="2:5">
      <c r="B1279" s="903"/>
      <c r="C1279" s="903"/>
      <c r="D1279" s="384" t="s">
        <v>368</v>
      </c>
      <c r="E1279" s="384">
        <v>0</v>
      </c>
    </row>
    <row r="1280" spans="2:5">
      <c r="B1280" s="903" t="str">
        <f>B938</f>
        <v xml:space="preserve">Bystré  - Čierne nad Topľou/mimo/ </v>
      </c>
      <c r="C1280" s="903" t="str">
        <f>C938</f>
        <v>Medzistaničný úsek</v>
      </c>
      <c r="D1280" s="387">
        <v>0</v>
      </c>
      <c r="E1280" s="387">
        <v>0</v>
      </c>
    </row>
    <row r="1281" spans="2:5">
      <c r="B1281" s="903"/>
      <c r="C1281" s="903"/>
      <c r="D1281" s="387">
        <v>0</v>
      </c>
      <c r="E1281" s="387">
        <v>0</v>
      </c>
    </row>
    <row r="1282" spans="2:5">
      <c r="B1282" s="903"/>
      <c r="C1282" s="903"/>
      <c r="D1282" s="387">
        <v>0</v>
      </c>
      <c r="E1282" s="387">
        <v>0</v>
      </c>
    </row>
    <row r="1283" spans="2:5">
      <c r="B1283" s="903" t="str">
        <f>B941</f>
        <v>Čierne nad Topľou</v>
      </c>
      <c r="C1283" s="903" t="str">
        <f>C941</f>
        <v>Stanica</v>
      </c>
      <c r="D1283" s="384" t="s">
        <v>364</v>
      </c>
      <c r="E1283" s="384">
        <v>0</v>
      </c>
    </row>
    <row r="1284" spans="2:5">
      <c r="B1284" s="903"/>
      <c r="C1284" s="903"/>
      <c r="D1284" s="384" t="s">
        <v>365</v>
      </c>
      <c r="E1284" s="384">
        <v>0</v>
      </c>
    </row>
    <row r="1285" spans="2:5">
      <c r="B1285" s="903"/>
      <c r="C1285" s="903"/>
      <c r="D1285" s="384" t="s">
        <v>368</v>
      </c>
      <c r="E1285" s="384">
        <v>2.3010000000000006</v>
      </c>
    </row>
    <row r="1286" spans="2:5">
      <c r="B1286" s="903" t="str">
        <f>B944</f>
        <v>Čierne nad Topľou/mimo/  - Hlinné</v>
      </c>
      <c r="C1286" s="903" t="str">
        <f>C944</f>
        <v>Medzistaničný úsek</v>
      </c>
      <c r="D1286" s="387">
        <v>0</v>
      </c>
      <c r="E1286" s="387">
        <v>0</v>
      </c>
    </row>
    <row r="1287" spans="2:5">
      <c r="B1287" s="903"/>
      <c r="C1287" s="903"/>
      <c r="D1287" s="387">
        <v>0</v>
      </c>
      <c r="E1287" s="387">
        <v>0</v>
      </c>
    </row>
    <row r="1288" spans="2:5">
      <c r="B1288" s="903"/>
      <c r="C1288" s="903"/>
      <c r="D1288" s="387">
        <v>0</v>
      </c>
      <c r="E1288" s="387">
        <v>0</v>
      </c>
    </row>
    <row r="1289" spans="2:5">
      <c r="B1289" s="903" t="str">
        <f>B947</f>
        <v>Hlinné</v>
      </c>
      <c r="C1289" s="903" t="str">
        <f>C947</f>
        <v>Stanica</v>
      </c>
      <c r="D1289" s="387" t="s">
        <v>364</v>
      </c>
      <c r="E1289" s="387">
        <v>0</v>
      </c>
    </row>
    <row r="1290" spans="2:5">
      <c r="B1290" s="903"/>
      <c r="C1290" s="903"/>
      <c r="D1290" s="387" t="s">
        <v>365</v>
      </c>
      <c r="E1290" s="387">
        <v>0</v>
      </c>
    </row>
    <row r="1291" spans="2:5">
      <c r="B1291" s="903"/>
      <c r="C1291" s="903"/>
      <c r="D1291" s="387" t="s">
        <v>368</v>
      </c>
      <c r="E1291" s="387">
        <v>0</v>
      </c>
    </row>
    <row r="1292" spans="2:5">
      <c r="B1292" s="903" t="str">
        <f>B950</f>
        <v>Hlinné - Soľ</v>
      </c>
      <c r="C1292" s="903" t="str">
        <f>C950</f>
        <v>Medzistaničný úsek</v>
      </c>
      <c r="D1292" s="387">
        <v>0</v>
      </c>
      <c r="E1292" s="387">
        <v>0</v>
      </c>
    </row>
    <row r="1293" spans="2:5">
      <c r="B1293" s="903"/>
      <c r="C1293" s="903"/>
      <c r="D1293" s="387">
        <v>0</v>
      </c>
      <c r="E1293" s="387">
        <v>0</v>
      </c>
    </row>
    <row r="1294" spans="2:5">
      <c r="B1294" s="903"/>
      <c r="C1294" s="903"/>
      <c r="D1294" s="387">
        <v>0</v>
      </c>
      <c r="E1294" s="387">
        <v>0</v>
      </c>
    </row>
    <row r="1295" spans="2:5">
      <c r="B1295" s="903" t="str">
        <f>B953</f>
        <v>Soľ</v>
      </c>
      <c r="C1295" s="903" t="str">
        <f>C953</f>
        <v>Stanica</v>
      </c>
      <c r="D1295" s="384" t="s">
        <v>364</v>
      </c>
      <c r="E1295" s="384">
        <v>0</v>
      </c>
    </row>
    <row r="1296" spans="2:5">
      <c r="B1296" s="903"/>
      <c r="C1296" s="903"/>
      <c r="D1296" s="384" t="s">
        <v>365</v>
      </c>
      <c r="E1296" s="384">
        <v>0</v>
      </c>
    </row>
    <row r="1297" spans="2:5">
      <c r="B1297" s="903"/>
      <c r="C1297" s="903"/>
      <c r="D1297" s="384" t="s">
        <v>368</v>
      </c>
      <c r="E1297" s="384">
        <v>0</v>
      </c>
    </row>
    <row r="1298" spans="2:5">
      <c r="B1298" s="903" t="str">
        <f>B956</f>
        <v xml:space="preserve">Soľ  - Komárany </v>
      </c>
      <c r="C1298" s="903" t="str">
        <f>C956</f>
        <v>Medzistaničný úsek</v>
      </c>
      <c r="D1298" s="387">
        <v>0</v>
      </c>
      <c r="E1298" s="387">
        <v>0</v>
      </c>
    </row>
    <row r="1299" spans="2:5">
      <c r="B1299" s="903"/>
      <c r="C1299" s="903"/>
      <c r="D1299" s="387">
        <v>0</v>
      </c>
      <c r="E1299" s="387">
        <v>0</v>
      </c>
    </row>
    <row r="1300" spans="2:5">
      <c r="B1300" s="903"/>
      <c r="C1300" s="903"/>
      <c r="D1300" s="387">
        <v>0</v>
      </c>
      <c r="E1300" s="387">
        <v>0</v>
      </c>
    </row>
    <row r="1301" spans="2:5">
      <c r="B1301" s="903" t="str">
        <f>B959</f>
        <v>Komárany</v>
      </c>
      <c r="C1301" s="903" t="str">
        <f>C959</f>
        <v>Stanica</v>
      </c>
      <c r="D1301" s="384" t="s">
        <v>364</v>
      </c>
      <c r="E1301" s="384">
        <v>0</v>
      </c>
    </row>
    <row r="1302" spans="2:5">
      <c r="B1302" s="903"/>
      <c r="C1302" s="903"/>
      <c r="D1302" s="384" t="s">
        <v>365</v>
      </c>
      <c r="E1302" s="384">
        <v>0</v>
      </c>
    </row>
    <row r="1303" spans="2:5">
      <c r="B1303" s="903"/>
      <c r="C1303" s="903"/>
      <c r="D1303" s="384" t="s">
        <v>368</v>
      </c>
      <c r="E1303" s="384">
        <v>0</v>
      </c>
    </row>
    <row r="1304" spans="2:5">
      <c r="B1304" s="903" t="str">
        <f>B962</f>
        <v xml:space="preserve">Komárany  - Vranov nad Topľou/mimo/ </v>
      </c>
      <c r="C1304" s="903" t="str">
        <f>C962</f>
        <v>Medzistaničný úsek</v>
      </c>
      <c r="D1304" s="387">
        <v>0</v>
      </c>
      <c r="E1304" s="387">
        <v>0</v>
      </c>
    </row>
    <row r="1305" spans="2:5">
      <c r="B1305" s="903"/>
      <c r="C1305" s="903"/>
      <c r="D1305" s="387">
        <v>0</v>
      </c>
      <c r="E1305" s="387">
        <v>0</v>
      </c>
    </row>
    <row r="1306" spans="2:5">
      <c r="B1306" s="903"/>
      <c r="C1306" s="903"/>
      <c r="D1306" s="387">
        <v>0</v>
      </c>
      <c r="E1306" s="387">
        <v>0</v>
      </c>
    </row>
    <row r="1307" spans="2:5">
      <c r="B1307" s="903" t="str">
        <f>B965</f>
        <v>Vranov nad Topľou</v>
      </c>
      <c r="C1307" s="903" t="str">
        <f>C965</f>
        <v>Stanica</v>
      </c>
      <c r="D1307" s="384" t="s">
        <v>364</v>
      </c>
      <c r="E1307" s="384">
        <v>0</v>
      </c>
    </row>
    <row r="1308" spans="2:5">
      <c r="B1308" s="903"/>
      <c r="C1308" s="903"/>
      <c r="D1308" s="384" t="s">
        <v>365</v>
      </c>
      <c r="E1308" s="384">
        <v>0</v>
      </c>
    </row>
    <row r="1309" spans="2:5">
      <c r="B1309" s="903"/>
      <c r="C1309" s="903"/>
      <c r="D1309" s="384" t="s">
        <v>368</v>
      </c>
      <c r="E1309" s="431">
        <v>4.1000000000000014</v>
      </c>
    </row>
    <row r="1310" spans="2:5">
      <c r="B1310" s="903" t="str">
        <f>B968</f>
        <v>Vranov nad Topľou/mimo/  - Vranovské Dlhé</v>
      </c>
      <c r="C1310" s="903" t="str">
        <f>C968</f>
        <v>Medzistaničný úsek</v>
      </c>
      <c r="D1310" s="387">
        <v>0</v>
      </c>
      <c r="E1310" s="387">
        <v>0</v>
      </c>
    </row>
    <row r="1311" spans="2:5">
      <c r="B1311" s="903"/>
      <c r="C1311" s="903"/>
      <c r="D1311" s="387">
        <v>0</v>
      </c>
      <c r="E1311" s="387">
        <v>0</v>
      </c>
    </row>
    <row r="1312" spans="2:5">
      <c r="B1312" s="903"/>
      <c r="C1312" s="903"/>
      <c r="D1312" s="387">
        <v>0</v>
      </c>
      <c r="E1312" s="387">
        <v>0</v>
      </c>
    </row>
    <row r="1313" spans="2:5">
      <c r="B1313" s="903" t="str">
        <f>B971</f>
        <v>Vranovské Dlhé</v>
      </c>
      <c r="C1313" s="903" t="str">
        <f>C971</f>
        <v>Stanica</v>
      </c>
      <c r="D1313" s="384" t="s">
        <v>364</v>
      </c>
      <c r="E1313" s="384">
        <v>0</v>
      </c>
    </row>
    <row r="1314" spans="2:5">
      <c r="B1314" s="903"/>
      <c r="C1314" s="903"/>
      <c r="D1314" s="384" t="s">
        <v>365</v>
      </c>
      <c r="E1314" s="384">
        <v>0</v>
      </c>
    </row>
    <row r="1315" spans="2:5">
      <c r="B1315" s="903"/>
      <c r="C1315" s="903"/>
      <c r="D1315" s="384" t="s">
        <v>368</v>
      </c>
      <c r="E1315" s="384">
        <v>0</v>
      </c>
    </row>
    <row r="1316" spans="2:5">
      <c r="B1316" s="903" t="str">
        <f>B974</f>
        <v>Vranovské Dlhé  - Hencovce</v>
      </c>
      <c r="C1316" s="903" t="str">
        <f>C974</f>
        <v>Medzistaničný úsek</v>
      </c>
      <c r="D1316" s="387">
        <v>0</v>
      </c>
      <c r="E1316" s="387">
        <v>0</v>
      </c>
    </row>
    <row r="1317" spans="2:5">
      <c r="B1317" s="903"/>
      <c r="C1317" s="903"/>
      <c r="D1317" s="387">
        <v>0</v>
      </c>
      <c r="E1317" s="387">
        <v>0</v>
      </c>
    </row>
    <row r="1318" spans="2:5">
      <c r="B1318" s="903"/>
      <c r="C1318" s="903"/>
      <c r="D1318" s="387">
        <v>0</v>
      </c>
      <c r="E1318" s="387">
        <v>0</v>
      </c>
    </row>
    <row r="1319" spans="2:5">
      <c r="B1319" s="903" t="str">
        <f>B977</f>
        <v>Hencovce</v>
      </c>
      <c r="C1319" s="903" t="str">
        <f>C977</f>
        <v>Stanica</v>
      </c>
      <c r="D1319" s="384" t="s">
        <v>364</v>
      </c>
      <c r="E1319" s="384">
        <v>0</v>
      </c>
    </row>
    <row r="1320" spans="2:5">
      <c r="B1320" s="903"/>
      <c r="C1320" s="903"/>
      <c r="D1320" s="384" t="s">
        <v>365</v>
      </c>
      <c r="E1320" s="384">
        <v>0</v>
      </c>
    </row>
    <row r="1321" spans="2:5">
      <c r="B1321" s="903"/>
      <c r="C1321" s="903"/>
      <c r="D1321" s="384" t="s">
        <v>368</v>
      </c>
      <c r="E1321" s="384">
        <v>0</v>
      </c>
    </row>
    <row r="1322" spans="2:5">
      <c r="B1322" s="903" t="str">
        <f>B980</f>
        <v xml:space="preserve">Hencovce  - Nižný Hrabovec/mimo/ </v>
      </c>
      <c r="C1322" s="903" t="str">
        <f>C980</f>
        <v>Medzistaničný úsek</v>
      </c>
      <c r="D1322" s="387">
        <v>0</v>
      </c>
      <c r="E1322" s="387">
        <v>0</v>
      </c>
    </row>
    <row r="1323" spans="2:5">
      <c r="B1323" s="903"/>
      <c r="C1323" s="903"/>
      <c r="D1323" s="387">
        <v>0</v>
      </c>
      <c r="E1323" s="387">
        <v>0</v>
      </c>
    </row>
    <row r="1324" spans="2:5">
      <c r="B1324" s="903"/>
      <c r="C1324" s="903"/>
      <c r="D1324" s="387">
        <v>0</v>
      </c>
      <c r="E1324" s="387">
        <v>0</v>
      </c>
    </row>
    <row r="1325" spans="2:5">
      <c r="B1325" s="903" t="str">
        <f>B983</f>
        <v>Nižný Hrabovec</v>
      </c>
      <c r="C1325" s="903" t="str">
        <f>C983</f>
        <v>Stanica</v>
      </c>
      <c r="D1325" s="384" t="s">
        <v>364</v>
      </c>
      <c r="E1325" s="384">
        <v>0</v>
      </c>
    </row>
    <row r="1326" spans="2:5">
      <c r="B1326" s="903"/>
      <c r="C1326" s="903"/>
      <c r="D1326" s="384" t="s">
        <v>365</v>
      </c>
      <c r="E1326" s="384">
        <v>0</v>
      </c>
    </row>
    <row r="1327" spans="2:5">
      <c r="B1327" s="903"/>
      <c r="C1327" s="903"/>
      <c r="D1327" s="384" t="s">
        <v>368</v>
      </c>
      <c r="E1327" s="384">
        <v>2.3239999999999998</v>
      </c>
    </row>
    <row r="1328" spans="2:5">
      <c r="B1328" s="903" t="str">
        <f>B986</f>
        <v xml:space="preserve">Nižný Hrabovec/mimo/  - Strážske/mimo/ </v>
      </c>
      <c r="C1328" s="903" t="str">
        <f>C986</f>
        <v>Medzistaničný úsek</v>
      </c>
      <c r="D1328" s="387">
        <v>0</v>
      </c>
      <c r="E1328" s="387">
        <v>0</v>
      </c>
    </row>
    <row r="1329" spans="2:5">
      <c r="B1329" s="903"/>
      <c r="C1329" s="903"/>
      <c r="D1329" s="387">
        <v>0</v>
      </c>
      <c r="E1329" s="387">
        <v>0</v>
      </c>
    </row>
    <row r="1330" spans="2:5">
      <c r="B1330" s="903"/>
      <c r="C1330" s="903"/>
      <c r="D1330" s="387">
        <v>0</v>
      </c>
      <c r="E1330" s="387">
        <v>0</v>
      </c>
    </row>
    <row r="1331" spans="2:5">
      <c r="B1331" s="903" t="str">
        <f>B989</f>
        <v>Strážske</v>
      </c>
      <c r="C1331" s="903" t="str">
        <f>C989</f>
        <v>Stanica</v>
      </c>
      <c r="D1331" s="384" t="s">
        <v>364</v>
      </c>
      <c r="E1331" s="384">
        <v>0</v>
      </c>
    </row>
    <row r="1332" spans="2:5">
      <c r="B1332" s="903"/>
      <c r="C1332" s="903"/>
      <c r="D1332" s="384" t="s">
        <v>365</v>
      </c>
      <c r="E1332" s="384">
        <v>0</v>
      </c>
    </row>
    <row r="1333" spans="2:5">
      <c r="B1333" s="903"/>
      <c r="C1333" s="903"/>
      <c r="D1333" s="384" t="s">
        <v>368</v>
      </c>
      <c r="E1333" s="384">
        <v>5.6370000000000013</v>
      </c>
    </row>
    <row r="1334" spans="2:5">
      <c r="B1334" s="903" t="str">
        <f>B1182</f>
        <v>Kapušany pri Prešove/mimo/ - Fulianka/mimo/</v>
      </c>
      <c r="C1334" s="903" t="str">
        <f>C1182</f>
        <v>Medzistaničný úsek</v>
      </c>
      <c r="D1334" s="387">
        <v>0</v>
      </c>
      <c r="E1334" s="387">
        <v>0</v>
      </c>
    </row>
    <row r="1335" spans="2:5">
      <c r="B1335" s="903"/>
      <c r="C1335" s="903"/>
      <c r="D1335" s="387">
        <v>0</v>
      </c>
      <c r="E1335" s="387">
        <v>0</v>
      </c>
    </row>
    <row r="1336" spans="2:5">
      <c r="B1336" s="903"/>
      <c r="C1336" s="903"/>
      <c r="D1336" s="387">
        <v>0</v>
      </c>
      <c r="E1336" s="387">
        <v>0</v>
      </c>
    </row>
    <row r="1337" spans="2:5">
      <c r="B1337" s="903" t="str">
        <f t="shared" ref="B1337:C1337" si="149">B1185</f>
        <v>Fulianka</v>
      </c>
      <c r="C1337" s="903" t="str">
        <f t="shared" si="149"/>
        <v>Stanica</v>
      </c>
      <c r="D1337" s="387" t="s">
        <v>364</v>
      </c>
      <c r="E1337" s="387">
        <v>0</v>
      </c>
    </row>
    <row r="1338" spans="2:5">
      <c r="B1338" s="903"/>
      <c r="C1338" s="903"/>
      <c r="D1338" s="387" t="s">
        <v>365</v>
      </c>
      <c r="E1338" s="387">
        <v>0</v>
      </c>
    </row>
    <row r="1339" spans="2:5">
      <c r="B1339" s="903"/>
      <c r="C1339" s="903"/>
      <c r="D1339" s="387" t="s">
        <v>368</v>
      </c>
      <c r="E1339" s="387">
        <v>0</v>
      </c>
    </row>
    <row r="1340" spans="2:5">
      <c r="B1340" s="903" t="str">
        <f t="shared" ref="B1340:C1340" si="150">B1188</f>
        <v>Fulianka/mimo/ - Tulčík/mimo/</v>
      </c>
      <c r="C1340" s="903" t="str">
        <f t="shared" si="150"/>
        <v>Medzistaničný úsek</v>
      </c>
      <c r="D1340" s="387">
        <v>0</v>
      </c>
      <c r="E1340" s="387">
        <v>0</v>
      </c>
    </row>
    <row r="1341" spans="2:5">
      <c r="B1341" s="903"/>
      <c r="C1341" s="903"/>
      <c r="D1341" s="387">
        <v>0</v>
      </c>
      <c r="E1341" s="387">
        <v>0</v>
      </c>
    </row>
    <row r="1342" spans="2:5">
      <c r="B1342" s="903"/>
      <c r="C1342" s="903"/>
      <c r="D1342" s="387">
        <v>0</v>
      </c>
      <c r="E1342" s="387">
        <v>0</v>
      </c>
    </row>
    <row r="1343" spans="2:5">
      <c r="B1343" s="903" t="str">
        <f t="shared" ref="B1343:C1343" si="151">B1191</f>
        <v>Tulčík</v>
      </c>
      <c r="C1343" s="903" t="str">
        <f t="shared" si="151"/>
        <v>Stanica</v>
      </c>
      <c r="D1343" s="387" t="s">
        <v>364</v>
      </c>
      <c r="E1343" s="387">
        <v>0</v>
      </c>
    </row>
    <row r="1344" spans="2:5">
      <c r="B1344" s="903"/>
      <c r="C1344" s="903"/>
      <c r="D1344" s="387" t="s">
        <v>365</v>
      </c>
      <c r="E1344" s="387">
        <v>0</v>
      </c>
    </row>
    <row r="1345" spans="2:5">
      <c r="B1345" s="903"/>
      <c r="C1345" s="903"/>
      <c r="D1345" s="387" t="s">
        <v>368</v>
      </c>
      <c r="E1345" s="387">
        <v>0</v>
      </c>
    </row>
    <row r="1346" spans="2:5">
      <c r="B1346" s="903" t="str">
        <f t="shared" ref="B1346:C1346" si="152">B1194</f>
        <v>Tulčík/mimo/ - Demjata/mimo/</v>
      </c>
      <c r="C1346" s="903" t="str">
        <f t="shared" si="152"/>
        <v>Medzistaničný úsek</v>
      </c>
      <c r="D1346" s="387">
        <v>0</v>
      </c>
      <c r="E1346" s="387">
        <v>0</v>
      </c>
    </row>
    <row r="1347" spans="2:5">
      <c r="B1347" s="903"/>
      <c r="C1347" s="903"/>
      <c r="D1347" s="387">
        <v>0</v>
      </c>
      <c r="E1347" s="387">
        <v>0</v>
      </c>
    </row>
    <row r="1348" spans="2:5">
      <c r="B1348" s="903"/>
      <c r="C1348" s="903"/>
      <c r="D1348" s="387">
        <v>0</v>
      </c>
      <c r="E1348" s="387">
        <v>0</v>
      </c>
    </row>
    <row r="1349" spans="2:5">
      <c r="B1349" s="903" t="str">
        <f t="shared" ref="B1349:C1349" si="153">B1197</f>
        <v>Demjata</v>
      </c>
      <c r="C1349" s="903" t="str">
        <f t="shared" si="153"/>
        <v>Stanica</v>
      </c>
      <c r="D1349" s="387" t="s">
        <v>364</v>
      </c>
      <c r="E1349" s="387">
        <v>0</v>
      </c>
    </row>
    <row r="1350" spans="2:5">
      <c r="B1350" s="903"/>
      <c r="C1350" s="903"/>
      <c r="D1350" s="387" t="s">
        <v>365</v>
      </c>
      <c r="E1350" s="387">
        <v>0</v>
      </c>
    </row>
    <row r="1351" spans="2:5">
      <c r="B1351" s="903"/>
      <c r="C1351" s="903"/>
      <c r="D1351" s="387" t="s">
        <v>368</v>
      </c>
      <c r="E1351" s="387">
        <v>0</v>
      </c>
    </row>
    <row r="1352" spans="2:5">
      <c r="B1352" s="903" t="str">
        <f t="shared" ref="B1352:C1352" si="154">B1200</f>
        <v>Demjata/mimo/ - Demjata obec/mimo/</v>
      </c>
      <c r="C1352" s="903" t="str">
        <f t="shared" si="154"/>
        <v>Medzistaničný úsek</v>
      </c>
      <c r="D1352" s="387">
        <v>0</v>
      </c>
      <c r="E1352" s="387">
        <v>0</v>
      </c>
    </row>
    <row r="1353" spans="2:5">
      <c r="B1353" s="903"/>
      <c r="C1353" s="903"/>
      <c r="D1353" s="387">
        <v>0</v>
      </c>
      <c r="E1353" s="387">
        <v>0</v>
      </c>
    </row>
    <row r="1354" spans="2:5">
      <c r="B1354" s="903"/>
      <c r="C1354" s="903"/>
      <c r="D1354" s="387">
        <v>0</v>
      </c>
      <c r="E1354" s="387">
        <v>0</v>
      </c>
    </row>
    <row r="1355" spans="2:5">
      <c r="B1355" s="903" t="str">
        <f t="shared" ref="B1355:C1355" si="155">B1203</f>
        <v>Demjata obec</v>
      </c>
      <c r="C1355" s="903" t="str">
        <f t="shared" si="155"/>
        <v>Stanica</v>
      </c>
      <c r="D1355" s="387" t="s">
        <v>364</v>
      </c>
      <c r="E1355" s="387">
        <v>0</v>
      </c>
    </row>
    <row r="1356" spans="2:5">
      <c r="B1356" s="903"/>
      <c r="C1356" s="903"/>
      <c r="D1356" s="387" t="s">
        <v>365</v>
      </c>
      <c r="E1356" s="387">
        <v>0</v>
      </c>
    </row>
    <row r="1357" spans="2:5">
      <c r="B1357" s="903"/>
      <c r="C1357" s="903"/>
      <c r="D1357" s="387" t="s">
        <v>368</v>
      </c>
      <c r="E1357" s="387">
        <v>0</v>
      </c>
    </row>
    <row r="1358" spans="2:5">
      <c r="B1358" s="903" t="str">
        <f t="shared" ref="B1358:C1358" si="156">B1206</f>
        <v>Demjata obec/mimo/ - Raslavice/mimo/</v>
      </c>
      <c r="C1358" s="903" t="str">
        <f t="shared" si="156"/>
        <v>Medzistaničný úsek</v>
      </c>
      <c r="D1358" s="387">
        <v>0</v>
      </c>
      <c r="E1358" s="387">
        <v>0</v>
      </c>
    </row>
    <row r="1359" spans="2:5">
      <c r="B1359" s="903"/>
      <c r="C1359" s="903"/>
      <c r="D1359" s="387">
        <v>0</v>
      </c>
      <c r="E1359" s="387">
        <v>0</v>
      </c>
    </row>
    <row r="1360" spans="2:5">
      <c r="B1360" s="903"/>
      <c r="C1360" s="903"/>
      <c r="D1360" s="387">
        <v>0</v>
      </c>
      <c r="E1360" s="387">
        <v>0</v>
      </c>
    </row>
    <row r="1361" spans="2:5">
      <c r="B1361" s="903" t="str">
        <f t="shared" ref="B1361:C1361" si="157">B1209</f>
        <v>Raslavice</v>
      </c>
      <c r="C1361" s="903" t="str">
        <f t="shared" si="157"/>
        <v>Stanica</v>
      </c>
      <c r="D1361" s="387" t="s">
        <v>364</v>
      </c>
      <c r="E1361" s="387">
        <v>0</v>
      </c>
    </row>
    <row r="1362" spans="2:5">
      <c r="B1362" s="903"/>
      <c r="C1362" s="903"/>
      <c r="D1362" s="387" t="s">
        <v>365</v>
      </c>
      <c r="E1362" s="387">
        <v>0</v>
      </c>
    </row>
    <row r="1363" spans="2:5">
      <c r="B1363" s="903"/>
      <c r="C1363" s="903"/>
      <c r="D1363" s="387" t="s">
        <v>368</v>
      </c>
      <c r="E1363" s="387">
        <v>0.91799999999999971</v>
      </c>
    </row>
  </sheetData>
  <mergeCells count="623">
    <mergeCell ref="B4:P4"/>
    <mergeCell ref="C6:D8"/>
    <mergeCell ref="C9:D9"/>
    <mergeCell ref="C11:D11"/>
    <mergeCell ref="C12:D12"/>
    <mergeCell ref="C13:D13"/>
    <mergeCell ref="F36:H36"/>
    <mergeCell ref="I36:K36"/>
    <mergeCell ref="B52:D53"/>
    <mergeCell ref="B56:B57"/>
    <mergeCell ref="C56:C57"/>
    <mergeCell ref="D56:F56"/>
    <mergeCell ref="G56:I56"/>
    <mergeCell ref="J56:L56"/>
    <mergeCell ref="C14:D14"/>
    <mergeCell ref="C15:D15"/>
    <mergeCell ref="C18:C20"/>
    <mergeCell ref="D18:D20"/>
    <mergeCell ref="B31:D32"/>
    <mergeCell ref="B36:B37"/>
    <mergeCell ref="C36:E36"/>
    <mergeCell ref="B92:B93"/>
    <mergeCell ref="B94:B95"/>
    <mergeCell ref="B96:B97"/>
    <mergeCell ref="B98:B99"/>
    <mergeCell ref="B101:C101"/>
    <mergeCell ref="B175:E175"/>
    <mergeCell ref="B58:B60"/>
    <mergeCell ref="B61:B75"/>
    <mergeCell ref="B76:B78"/>
    <mergeCell ref="B79:B80"/>
    <mergeCell ref="B81:B89"/>
    <mergeCell ref="B90:B91"/>
    <mergeCell ref="B211:B214"/>
    <mergeCell ref="C221:D221"/>
    <mergeCell ref="C228:C229"/>
    <mergeCell ref="D228:E228"/>
    <mergeCell ref="F228:G228"/>
    <mergeCell ref="C284:D284"/>
    <mergeCell ref="B181:D182"/>
    <mergeCell ref="B184:D184"/>
    <mergeCell ref="B186:B187"/>
    <mergeCell ref="B193:B196"/>
    <mergeCell ref="B202:C202"/>
    <mergeCell ref="B204:B205"/>
    <mergeCell ref="F409:G409"/>
    <mergeCell ref="B428:B430"/>
    <mergeCell ref="C428:C430"/>
    <mergeCell ref="C289:C290"/>
    <mergeCell ref="D289:E289"/>
    <mergeCell ref="F289:G289"/>
    <mergeCell ref="C343:D343"/>
    <mergeCell ref="C348:C349"/>
    <mergeCell ref="D348:F348"/>
    <mergeCell ref="G348:I348"/>
    <mergeCell ref="B522:D523"/>
    <mergeCell ref="B526:D526"/>
    <mergeCell ref="B528:B535"/>
    <mergeCell ref="B537:B542"/>
    <mergeCell ref="B544:B549"/>
    <mergeCell ref="B551:B553"/>
    <mergeCell ref="C402:D402"/>
    <mergeCell ref="C409:C410"/>
    <mergeCell ref="D409:E409"/>
    <mergeCell ref="C595:C596"/>
    <mergeCell ref="D595:E595"/>
    <mergeCell ref="F595:G595"/>
    <mergeCell ref="C655:E655"/>
    <mergeCell ref="C661:C662"/>
    <mergeCell ref="D661:E661"/>
    <mergeCell ref="F661:G661"/>
    <mergeCell ref="B557:C557"/>
    <mergeCell ref="B559:B566"/>
    <mergeCell ref="B568:B573"/>
    <mergeCell ref="B575:B580"/>
    <mergeCell ref="B582:B584"/>
    <mergeCell ref="C588:F588"/>
    <mergeCell ref="F740:F742"/>
    <mergeCell ref="G740:G742"/>
    <mergeCell ref="B719:D719"/>
    <mergeCell ref="E719:G719"/>
    <mergeCell ref="C726:C727"/>
    <mergeCell ref="D726:F726"/>
    <mergeCell ref="G726:I726"/>
    <mergeCell ref="B737:B739"/>
    <mergeCell ref="C737:C739"/>
    <mergeCell ref="D737:D739"/>
    <mergeCell ref="E737:E739"/>
    <mergeCell ref="B743:B745"/>
    <mergeCell ref="C743:C745"/>
    <mergeCell ref="D743:D745"/>
    <mergeCell ref="E743:E745"/>
    <mergeCell ref="B746:B748"/>
    <mergeCell ref="C746:C748"/>
    <mergeCell ref="D746:D748"/>
    <mergeCell ref="E746:E748"/>
    <mergeCell ref="B740:B742"/>
    <mergeCell ref="C740:C742"/>
    <mergeCell ref="D740:D742"/>
    <mergeCell ref="E740:E742"/>
    <mergeCell ref="B752:B754"/>
    <mergeCell ref="C752:C754"/>
    <mergeCell ref="D752:D754"/>
    <mergeCell ref="E752:E754"/>
    <mergeCell ref="F752:F754"/>
    <mergeCell ref="G752:G754"/>
    <mergeCell ref="F746:F748"/>
    <mergeCell ref="G746:G748"/>
    <mergeCell ref="B749:B751"/>
    <mergeCell ref="C749:C751"/>
    <mergeCell ref="D749:D751"/>
    <mergeCell ref="E749:E751"/>
    <mergeCell ref="B758:B760"/>
    <mergeCell ref="C758:C760"/>
    <mergeCell ref="D758:D760"/>
    <mergeCell ref="E758:E760"/>
    <mergeCell ref="F758:F760"/>
    <mergeCell ref="G758:G760"/>
    <mergeCell ref="B755:B757"/>
    <mergeCell ref="C755:C757"/>
    <mergeCell ref="D755:D757"/>
    <mergeCell ref="E755:E757"/>
    <mergeCell ref="F755:F757"/>
    <mergeCell ref="G755:G757"/>
    <mergeCell ref="F764:F766"/>
    <mergeCell ref="G764:G766"/>
    <mergeCell ref="B767:B769"/>
    <mergeCell ref="C767:C769"/>
    <mergeCell ref="D767:D769"/>
    <mergeCell ref="E767:E769"/>
    <mergeCell ref="F767:F769"/>
    <mergeCell ref="G767:G769"/>
    <mergeCell ref="B761:B763"/>
    <mergeCell ref="C761:C763"/>
    <mergeCell ref="D761:D763"/>
    <mergeCell ref="E761:E763"/>
    <mergeCell ref="B764:B766"/>
    <mergeCell ref="C764:C766"/>
    <mergeCell ref="D764:D766"/>
    <mergeCell ref="E764:E766"/>
    <mergeCell ref="F776:F778"/>
    <mergeCell ref="G776:G778"/>
    <mergeCell ref="B773:B775"/>
    <mergeCell ref="C773:C775"/>
    <mergeCell ref="D773:D775"/>
    <mergeCell ref="E773:E775"/>
    <mergeCell ref="F773:F775"/>
    <mergeCell ref="G773:G775"/>
    <mergeCell ref="B770:B772"/>
    <mergeCell ref="C770:C772"/>
    <mergeCell ref="D770:D772"/>
    <mergeCell ref="E770:E772"/>
    <mergeCell ref="F770:F772"/>
    <mergeCell ref="G770:G772"/>
    <mergeCell ref="B779:B781"/>
    <mergeCell ref="C779:C781"/>
    <mergeCell ref="D779:D781"/>
    <mergeCell ref="E779:E781"/>
    <mergeCell ref="B782:B784"/>
    <mergeCell ref="C782:C784"/>
    <mergeCell ref="D782:D784"/>
    <mergeCell ref="E782:E784"/>
    <mergeCell ref="B776:B778"/>
    <mergeCell ref="C776:C778"/>
    <mergeCell ref="D776:D778"/>
    <mergeCell ref="E776:E778"/>
    <mergeCell ref="F788:F790"/>
    <mergeCell ref="G788:G790"/>
    <mergeCell ref="F782:F784"/>
    <mergeCell ref="G782:G784"/>
    <mergeCell ref="B785:B787"/>
    <mergeCell ref="C785:C787"/>
    <mergeCell ref="D785:D787"/>
    <mergeCell ref="E785:E787"/>
    <mergeCell ref="F785:F787"/>
    <mergeCell ref="G785:G787"/>
    <mergeCell ref="B791:B793"/>
    <mergeCell ref="C791:C793"/>
    <mergeCell ref="D791:D793"/>
    <mergeCell ref="E791:E793"/>
    <mergeCell ref="B794:B796"/>
    <mergeCell ref="C794:C796"/>
    <mergeCell ref="D794:D796"/>
    <mergeCell ref="E794:E796"/>
    <mergeCell ref="B788:B790"/>
    <mergeCell ref="C788:C790"/>
    <mergeCell ref="D788:D790"/>
    <mergeCell ref="E788:E790"/>
    <mergeCell ref="B800:B802"/>
    <mergeCell ref="C800:C802"/>
    <mergeCell ref="D800:D802"/>
    <mergeCell ref="E800:E802"/>
    <mergeCell ref="F800:F802"/>
    <mergeCell ref="G800:G802"/>
    <mergeCell ref="F794:F796"/>
    <mergeCell ref="G794:G796"/>
    <mergeCell ref="B797:B799"/>
    <mergeCell ref="C797:C799"/>
    <mergeCell ref="D797:D799"/>
    <mergeCell ref="E797:E799"/>
    <mergeCell ref="F797:F799"/>
    <mergeCell ref="G797:G799"/>
    <mergeCell ref="B806:B808"/>
    <mergeCell ref="C806:C808"/>
    <mergeCell ref="D806:D808"/>
    <mergeCell ref="E806:E808"/>
    <mergeCell ref="F806:F808"/>
    <mergeCell ref="G806:G808"/>
    <mergeCell ref="B803:B805"/>
    <mergeCell ref="C803:C805"/>
    <mergeCell ref="D803:D805"/>
    <mergeCell ref="E803:E805"/>
    <mergeCell ref="F803:F805"/>
    <mergeCell ref="G803:G805"/>
    <mergeCell ref="B812:B814"/>
    <mergeCell ref="C812:C814"/>
    <mergeCell ref="D812:D814"/>
    <mergeCell ref="E812:E814"/>
    <mergeCell ref="F812:F814"/>
    <mergeCell ref="G812:G814"/>
    <mergeCell ref="B809:B811"/>
    <mergeCell ref="C809:C811"/>
    <mergeCell ref="D809:D811"/>
    <mergeCell ref="E809:E811"/>
    <mergeCell ref="F809:F811"/>
    <mergeCell ref="G809:G811"/>
    <mergeCell ref="F818:F820"/>
    <mergeCell ref="G818:G820"/>
    <mergeCell ref="B821:B823"/>
    <mergeCell ref="C821:C823"/>
    <mergeCell ref="D821:D823"/>
    <mergeCell ref="E821:E823"/>
    <mergeCell ref="F821:F823"/>
    <mergeCell ref="G821:G823"/>
    <mergeCell ref="B815:B817"/>
    <mergeCell ref="C815:C817"/>
    <mergeCell ref="D815:D817"/>
    <mergeCell ref="E815:E817"/>
    <mergeCell ref="B818:B820"/>
    <mergeCell ref="C818:C820"/>
    <mergeCell ref="D818:D820"/>
    <mergeCell ref="E818:E820"/>
    <mergeCell ref="F830:F832"/>
    <mergeCell ref="G830:G832"/>
    <mergeCell ref="B827:B829"/>
    <mergeCell ref="C827:C829"/>
    <mergeCell ref="D827:D829"/>
    <mergeCell ref="E827:E829"/>
    <mergeCell ref="F827:F829"/>
    <mergeCell ref="G827:G829"/>
    <mergeCell ref="B824:B826"/>
    <mergeCell ref="C824:C826"/>
    <mergeCell ref="D824:D826"/>
    <mergeCell ref="E824:E826"/>
    <mergeCell ref="F824:F826"/>
    <mergeCell ref="G824:G826"/>
    <mergeCell ref="B833:B835"/>
    <mergeCell ref="C833:C835"/>
    <mergeCell ref="D833:D835"/>
    <mergeCell ref="E833:E835"/>
    <mergeCell ref="B836:B838"/>
    <mergeCell ref="C836:C838"/>
    <mergeCell ref="D836:D838"/>
    <mergeCell ref="E836:E838"/>
    <mergeCell ref="B830:B832"/>
    <mergeCell ref="C830:C832"/>
    <mergeCell ref="D830:D832"/>
    <mergeCell ref="E830:E832"/>
    <mergeCell ref="B842:B844"/>
    <mergeCell ref="C842:C844"/>
    <mergeCell ref="D842:D844"/>
    <mergeCell ref="E842:E844"/>
    <mergeCell ref="F842:F844"/>
    <mergeCell ref="G842:G844"/>
    <mergeCell ref="F836:F838"/>
    <mergeCell ref="G836:G838"/>
    <mergeCell ref="B839:B841"/>
    <mergeCell ref="C839:C841"/>
    <mergeCell ref="D839:D841"/>
    <mergeCell ref="E839:E841"/>
    <mergeCell ref="B848:B850"/>
    <mergeCell ref="C848:C850"/>
    <mergeCell ref="D848:D850"/>
    <mergeCell ref="E848:E850"/>
    <mergeCell ref="F848:F850"/>
    <mergeCell ref="G848:G850"/>
    <mergeCell ref="B845:B847"/>
    <mergeCell ref="C845:C847"/>
    <mergeCell ref="D845:D847"/>
    <mergeCell ref="E845:E847"/>
    <mergeCell ref="F845:F847"/>
    <mergeCell ref="G845:G847"/>
    <mergeCell ref="B854:B856"/>
    <mergeCell ref="C854:C856"/>
    <mergeCell ref="D854:D856"/>
    <mergeCell ref="E854:E856"/>
    <mergeCell ref="F854:F856"/>
    <mergeCell ref="G854:G856"/>
    <mergeCell ref="B851:B853"/>
    <mergeCell ref="C851:C853"/>
    <mergeCell ref="D851:D853"/>
    <mergeCell ref="E851:E853"/>
    <mergeCell ref="F851:F853"/>
    <mergeCell ref="G851:G853"/>
    <mergeCell ref="B860:B862"/>
    <mergeCell ref="C860:C862"/>
    <mergeCell ref="D860:D862"/>
    <mergeCell ref="E860:E862"/>
    <mergeCell ref="F860:F862"/>
    <mergeCell ref="G860:G862"/>
    <mergeCell ref="B857:B859"/>
    <mergeCell ref="C857:C859"/>
    <mergeCell ref="D857:D859"/>
    <mergeCell ref="E857:E859"/>
    <mergeCell ref="F857:F859"/>
    <mergeCell ref="G857:G859"/>
    <mergeCell ref="B866:B868"/>
    <mergeCell ref="C866:C868"/>
    <mergeCell ref="D866:D868"/>
    <mergeCell ref="E866:E868"/>
    <mergeCell ref="F866:F868"/>
    <mergeCell ref="G866:G868"/>
    <mergeCell ref="B863:B865"/>
    <mergeCell ref="C863:C865"/>
    <mergeCell ref="D863:D865"/>
    <mergeCell ref="E863:E865"/>
    <mergeCell ref="F863:F865"/>
    <mergeCell ref="G863:G865"/>
    <mergeCell ref="F880:G880"/>
    <mergeCell ref="B887:B889"/>
    <mergeCell ref="C887:C889"/>
    <mergeCell ref="B890:B892"/>
    <mergeCell ref="C890:C892"/>
    <mergeCell ref="B893:B895"/>
    <mergeCell ref="C893:C895"/>
    <mergeCell ref="B869:B871"/>
    <mergeCell ref="C869:C871"/>
    <mergeCell ref="D869:D871"/>
    <mergeCell ref="E869:E871"/>
    <mergeCell ref="B875:D875"/>
    <mergeCell ref="C880:C881"/>
    <mergeCell ref="D880:E880"/>
    <mergeCell ref="B905:B907"/>
    <mergeCell ref="C905:C907"/>
    <mergeCell ref="B908:B910"/>
    <mergeCell ref="C908:C910"/>
    <mergeCell ref="B911:B913"/>
    <mergeCell ref="C911:C913"/>
    <mergeCell ref="B896:B898"/>
    <mergeCell ref="C896:C898"/>
    <mergeCell ref="B899:B901"/>
    <mergeCell ref="C899:C901"/>
    <mergeCell ref="B902:B904"/>
    <mergeCell ref="C902:C904"/>
    <mergeCell ref="B923:B925"/>
    <mergeCell ref="C923:C925"/>
    <mergeCell ref="B926:B928"/>
    <mergeCell ref="C926:C928"/>
    <mergeCell ref="B929:B931"/>
    <mergeCell ref="C929:C931"/>
    <mergeCell ref="B914:B916"/>
    <mergeCell ref="C914:C916"/>
    <mergeCell ref="B917:B919"/>
    <mergeCell ref="C917:C919"/>
    <mergeCell ref="B920:B922"/>
    <mergeCell ref="C920:C922"/>
    <mergeCell ref="B941:B943"/>
    <mergeCell ref="C941:C943"/>
    <mergeCell ref="B944:B946"/>
    <mergeCell ref="C944:C946"/>
    <mergeCell ref="B947:B949"/>
    <mergeCell ref="C947:C949"/>
    <mergeCell ref="B932:B934"/>
    <mergeCell ref="C932:C934"/>
    <mergeCell ref="B935:B937"/>
    <mergeCell ref="C935:C937"/>
    <mergeCell ref="B938:B940"/>
    <mergeCell ref="C938:C940"/>
    <mergeCell ref="B959:B961"/>
    <mergeCell ref="C959:C961"/>
    <mergeCell ref="B962:B964"/>
    <mergeCell ref="C962:C964"/>
    <mergeCell ref="B965:B967"/>
    <mergeCell ref="C965:C967"/>
    <mergeCell ref="B950:B952"/>
    <mergeCell ref="C950:C952"/>
    <mergeCell ref="B953:B955"/>
    <mergeCell ref="C953:C955"/>
    <mergeCell ref="B956:B958"/>
    <mergeCell ref="C956:C958"/>
    <mergeCell ref="B977:B979"/>
    <mergeCell ref="C977:C979"/>
    <mergeCell ref="B980:B982"/>
    <mergeCell ref="C980:C982"/>
    <mergeCell ref="B983:B985"/>
    <mergeCell ref="C983:C985"/>
    <mergeCell ref="B968:B970"/>
    <mergeCell ref="C968:C970"/>
    <mergeCell ref="B971:B973"/>
    <mergeCell ref="C971:C973"/>
    <mergeCell ref="B974:B976"/>
    <mergeCell ref="C974:C976"/>
    <mergeCell ref="B995:B997"/>
    <mergeCell ref="C995:C997"/>
    <mergeCell ref="B998:B1000"/>
    <mergeCell ref="C998:C1000"/>
    <mergeCell ref="B1001:B1003"/>
    <mergeCell ref="C1001:C1003"/>
    <mergeCell ref="B986:B988"/>
    <mergeCell ref="C986:C988"/>
    <mergeCell ref="B989:B991"/>
    <mergeCell ref="C989:C991"/>
    <mergeCell ref="B992:B994"/>
    <mergeCell ref="C992:C994"/>
    <mergeCell ref="B1013:B1015"/>
    <mergeCell ref="C1013:C1015"/>
    <mergeCell ref="B1016:B1018"/>
    <mergeCell ref="C1016:C1018"/>
    <mergeCell ref="B1019:B1021"/>
    <mergeCell ref="C1019:C1021"/>
    <mergeCell ref="B1004:B1006"/>
    <mergeCell ref="C1004:C1006"/>
    <mergeCell ref="B1007:B1009"/>
    <mergeCell ref="C1007:C1009"/>
    <mergeCell ref="B1010:B1012"/>
    <mergeCell ref="C1010:C1012"/>
    <mergeCell ref="B1052:B1054"/>
    <mergeCell ref="C1058:D1058"/>
    <mergeCell ref="E1058:E1059"/>
    <mergeCell ref="C1066:C1067"/>
    <mergeCell ref="D1066:E1066"/>
    <mergeCell ref="F1066:G1066"/>
    <mergeCell ref="B1025:D1026"/>
    <mergeCell ref="B1028:D1028"/>
    <mergeCell ref="B1030:B1035"/>
    <mergeCell ref="B1037:B1039"/>
    <mergeCell ref="B1043:C1043"/>
    <mergeCell ref="B1045:B1050"/>
    <mergeCell ref="B1086:B1088"/>
    <mergeCell ref="C1086:C1088"/>
    <mergeCell ref="B1089:B1091"/>
    <mergeCell ref="C1089:C1091"/>
    <mergeCell ref="B1092:B1094"/>
    <mergeCell ref="C1092:C1094"/>
    <mergeCell ref="B1077:B1079"/>
    <mergeCell ref="C1077:C1079"/>
    <mergeCell ref="B1080:B1082"/>
    <mergeCell ref="C1080:C1082"/>
    <mergeCell ref="B1083:B1085"/>
    <mergeCell ref="C1083:C1085"/>
    <mergeCell ref="B1104:B1106"/>
    <mergeCell ref="C1104:C1106"/>
    <mergeCell ref="B1107:B1109"/>
    <mergeCell ref="C1107:C1109"/>
    <mergeCell ref="B1110:B1112"/>
    <mergeCell ref="C1110:C1112"/>
    <mergeCell ref="B1095:B1097"/>
    <mergeCell ref="C1095:C1097"/>
    <mergeCell ref="B1098:B1100"/>
    <mergeCell ref="C1098:C1100"/>
    <mergeCell ref="B1101:B1103"/>
    <mergeCell ref="C1101:C1103"/>
    <mergeCell ref="B1122:B1124"/>
    <mergeCell ref="C1122:C1124"/>
    <mergeCell ref="B1125:B1127"/>
    <mergeCell ref="C1125:C1127"/>
    <mergeCell ref="B1128:B1130"/>
    <mergeCell ref="C1128:C1130"/>
    <mergeCell ref="B1113:B1115"/>
    <mergeCell ref="C1113:C1115"/>
    <mergeCell ref="B1116:B1118"/>
    <mergeCell ref="C1116:C1118"/>
    <mergeCell ref="B1119:B1121"/>
    <mergeCell ref="C1119:C1121"/>
    <mergeCell ref="B1140:B1142"/>
    <mergeCell ref="C1140:C1142"/>
    <mergeCell ref="B1143:B1145"/>
    <mergeCell ref="C1143:C1145"/>
    <mergeCell ref="B1146:B1148"/>
    <mergeCell ref="C1146:C1148"/>
    <mergeCell ref="B1131:B1133"/>
    <mergeCell ref="C1131:C1133"/>
    <mergeCell ref="B1134:B1136"/>
    <mergeCell ref="C1134:C1136"/>
    <mergeCell ref="B1137:B1139"/>
    <mergeCell ref="C1137:C1139"/>
    <mergeCell ref="B1158:B1160"/>
    <mergeCell ref="C1158:C1160"/>
    <mergeCell ref="B1161:B1163"/>
    <mergeCell ref="C1161:C1163"/>
    <mergeCell ref="B1164:B1166"/>
    <mergeCell ref="C1164:C1166"/>
    <mergeCell ref="B1149:B1151"/>
    <mergeCell ref="C1149:C1151"/>
    <mergeCell ref="B1152:B1154"/>
    <mergeCell ref="C1152:C1154"/>
    <mergeCell ref="B1155:B1157"/>
    <mergeCell ref="C1155:C1157"/>
    <mergeCell ref="B1176:B1178"/>
    <mergeCell ref="C1176:C1178"/>
    <mergeCell ref="B1179:B1181"/>
    <mergeCell ref="C1179:C1181"/>
    <mergeCell ref="B1182:B1184"/>
    <mergeCell ref="C1182:C1184"/>
    <mergeCell ref="B1167:B1169"/>
    <mergeCell ref="C1167:C1169"/>
    <mergeCell ref="B1170:B1172"/>
    <mergeCell ref="C1170:C1172"/>
    <mergeCell ref="B1173:B1175"/>
    <mergeCell ref="C1173:C1175"/>
    <mergeCell ref="B1194:B1196"/>
    <mergeCell ref="C1194:C1196"/>
    <mergeCell ref="B1197:B1199"/>
    <mergeCell ref="C1197:C1199"/>
    <mergeCell ref="B1200:B1202"/>
    <mergeCell ref="C1200:C1202"/>
    <mergeCell ref="B1185:B1187"/>
    <mergeCell ref="C1185:C1187"/>
    <mergeCell ref="B1188:B1190"/>
    <mergeCell ref="C1188:C1190"/>
    <mergeCell ref="B1191:B1193"/>
    <mergeCell ref="C1191:C1193"/>
    <mergeCell ref="F1221:G1221"/>
    <mergeCell ref="B1229:B1231"/>
    <mergeCell ref="C1229:C1231"/>
    <mergeCell ref="B1203:B1205"/>
    <mergeCell ref="C1203:C1205"/>
    <mergeCell ref="B1206:B1208"/>
    <mergeCell ref="C1206:C1208"/>
    <mergeCell ref="B1209:B1211"/>
    <mergeCell ref="C1209:C1211"/>
    <mergeCell ref="B1232:B1234"/>
    <mergeCell ref="C1232:C1234"/>
    <mergeCell ref="B1235:B1237"/>
    <mergeCell ref="C1235:C1237"/>
    <mergeCell ref="B1238:B1240"/>
    <mergeCell ref="C1238:C1240"/>
    <mergeCell ref="C1215:D1215"/>
    <mergeCell ref="E1215:E1216"/>
    <mergeCell ref="C1221:C1222"/>
    <mergeCell ref="D1221:E1221"/>
    <mergeCell ref="B1250:B1252"/>
    <mergeCell ref="C1250:C1252"/>
    <mergeCell ref="B1253:B1255"/>
    <mergeCell ref="C1253:C1255"/>
    <mergeCell ref="B1256:B1258"/>
    <mergeCell ref="C1256:C1258"/>
    <mergeCell ref="B1241:B1243"/>
    <mergeCell ref="C1241:C1243"/>
    <mergeCell ref="B1244:B1246"/>
    <mergeCell ref="C1244:C1246"/>
    <mergeCell ref="B1247:B1249"/>
    <mergeCell ref="C1247:C1249"/>
    <mergeCell ref="B1268:B1270"/>
    <mergeCell ref="C1268:C1270"/>
    <mergeCell ref="B1271:B1273"/>
    <mergeCell ref="C1271:C1273"/>
    <mergeCell ref="B1274:B1276"/>
    <mergeCell ref="C1274:C1276"/>
    <mergeCell ref="B1259:B1261"/>
    <mergeCell ref="C1259:C1261"/>
    <mergeCell ref="B1262:B1264"/>
    <mergeCell ref="C1262:C1264"/>
    <mergeCell ref="B1265:B1267"/>
    <mergeCell ref="C1265:C1267"/>
    <mergeCell ref="B1286:B1288"/>
    <mergeCell ref="C1286:C1288"/>
    <mergeCell ref="B1289:B1291"/>
    <mergeCell ref="C1289:C1291"/>
    <mergeCell ref="B1292:B1294"/>
    <mergeCell ref="C1292:C1294"/>
    <mergeCell ref="B1277:B1279"/>
    <mergeCell ref="C1277:C1279"/>
    <mergeCell ref="B1280:B1282"/>
    <mergeCell ref="C1280:C1282"/>
    <mergeCell ref="B1283:B1285"/>
    <mergeCell ref="C1283:C1285"/>
    <mergeCell ref="B1304:B1306"/>
    <mergeCell ref="C1304:C1306"/>
    <mergeCell ref="B1307:B1309"/>
    <mergeCell ref="C1307:C1309"/>
    <mergeCell ref="B1310:B1312"/>
    <mergeCell ref="C1310:C1312"/>
    <mergeCell ref="B1295:B1297"/>
    <mergeCell ref="C1295:C1297"/>
    <mergeCell ref="B1298:B1300"/>
    <mergeCell ref="C1298:C1300"/>
    <mergeCell ref="B1301:B1303"/>
    <mergeCell ref="C1301:C1303"/>
    <mergeCell ref="B1322:B1324"/>
    <mergeCell ref="C1322:C1324"/>
    <mergeCell ref="B1325:B1327"/>
    <mergeCell ref="C1325:C1327"/>
    <mergeCell ref="B1328:B1330"/>
    <mergeCell ref="C1328:C1330"/>
    <mergeCell ref="B1313:B1315"/>
    <mergeCell ref="C1313:C1315"/>
    <mergeCell ref="B1316:B1318"/>
    <mergeCell ref="C1316:C1318"/>
    <mergeCell ref="B1319:B1321"/>
    <mergeCell ref="C1319:C1321"/>
    <mergeCell ref="B1340:B1342"/>
    <mergeCell ref="C1340:C1342"/>
    <mergeCell ref="B1343:B1345"/>
    <mergeCell ref="C1343:C1345"/>
    <mergeCell ref="B1346:B1348"/>
    <mergeCell ref="C1346:C1348"/>
    <mergeCell ref="B1331:B1333"/>
    <mergeCell ref="C1331:C1333"/>
    <mergeCell ref="B1334:B1336"/>
    <mergeCell ref="C1334:C1336"/>
    <mergeCell ref="B1337:B1339"/>
    <mergeCell ref="C1337:C1339"/>
    <mergeCell ref="B1358:B1360"/>
    <mergeCell ref="C1358:C1360"/>
    <mergeCell ref="B1361:B1363"/>
    <mergeCell ref="C1361:C1363"/>
    <mergeCell ref="B1349:B1351"/>
    <mergeCell ref="C1349:C1351"/>
    <mergeCell ref="B1352:B1354"/>
    <mergeCell ref="C1352:C1354"/>
    <mergeCell ref="B1355:B1357"/>
    <mergeCell ref="C1355:C1357"/>
  </mergeCell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Z118"/>
  <sheetViews>
    <sheetView zoomScale="80" zoomScaleNormal="80" workbookViewId="0">
      <selection activeCell="I36" sqref="I36"/>
    </sheetView>
  </sheetViews>
  <sheetFormatPr defaultColWidth="9.140625" defaultRowHeight="11.25"/>
  <cols>
    <col min="1" max="1" width="2.7109375" style="2" customWidth="1"/>
    <col min="2" max="2" width="56.7109375" style="2" customWidth="1"/>
    <col min="3" max="3" width="11.7109375" style="2" customWidth="1"/>
    <col min="4" max="9" width="10.7109375" style="2" customWidth="1"/>
    <col min="10" max="20" width="9.140625" style="2"/>
    <col min="21" max="21" width="81.7109375" style="2" customWidth="1"/>
    <col min="22" max="22" width="12" style="2" customWidth="1"/>
    <col min="23" max="23" width="12.42578125" style="2" customWidth="1"/>
    <col min="24" max="24" width="13.5703125" style="2" customWidth="1"/>
    <col min="25" max="25" width="12" style="2" customWidth="1"/>
    <col min="26" max="26" width="14.140625" style="2" customWidth="1"/>
    <col min="27" max="16384" width="9.140625" style="2"/>
  </cols>
  <sheetData>
    <row r="2" spans="2:26" ht="12">
      <c r="B2" s="491" t="s">
        <v>807</v>
      </c>
    </row>
    <row r="4" spans="2:26">
      <c r="B4" s="3" t="s">
        <v>253</v>
      </c>
      <c r="C4" s="3"/>
      <c r="D4" s="3" t="s">
        <v>9</v>
      </c>
      <c r="E4" s="3"/>
      <c r="F4" s="3"/>
      <c r="G4" s="3"/>
      <c r="H4" s="3"/>
      <c r="I4" s="3"/>
      <c r="U4" s="3" t="s">
        <v>253</v>
      </c>
      <c r="V4" s="3"/>
      <c r="W4" s="3"/>
      <c r="X4" s="3"/>
      <c r="Y4" s="3"/>
      <c r="Z4" s="3"/>
    </row>
    <row r="5" spans="2:26">
      <c r="B5" s="4"/>
      <c r="C5" s="4"/>
      <c r="D5" s="5">
        <v>1</v>
      </c>
      <c r="E5" s="5">
        <v>2</v>
      </c>
      <c r="F5" s="5">
        <v>3</v>
      </c>
      <c r="G5" s="5">
        <v>4</v>
      </c>
      <c r="H5" s="5"/>
      <c r="I5" s="5">
        <f>Parametre!C12</f>
        <v>40</v>
      </c>
      <c r="U5" s="4"/>
      <c r="V5" s="4"/>
      <c r="W5" s="5"/>
      <c r="X5" s="5"/>
      <c r="Y5" s="5"/>
      <c r="Z5" s="5"/>
    </row>
    <row r="6" spans="2:26">
      <c r="B6" s="6" t="s">
        <v>598</v>
      </c>
      <c r="C6" s="6" t="s">
        <v>8</v>
      </c>
      <c r="D6" s="7">
        <f>Parametre!C13</f>
        <v>2024</v>
      </c>
      <c r="E6" s="7">
        <f>$D$6+D5</f>
        <v>2025</v>
      </c>
      <c r="F6" s="7">
        <f t="shared" ref="F6:G6" si="0">$D$6+E5</f>
        <v>2026</v>
      </c>
      <c r="G6" s="7">
        <f t="shared" si="0"/>
        <v>2027</v>
      </c>
      <c r="H6" s="7" t="s">
        <v>61</v>
      </c>
      <c r="I6" s="7">
        <f>Parametre!C16</f>
        <v>2063</v>
      </c>
      <c r="U6" s="6" t="s">
        <v>955</v>
      </c>
      <c r="V6" s="6" t="s">
        <v>8</v>
      </c>
      <c r="W6" s="489">
        <v>2024</v>
      </c>
      <c r="X6" s="489">
        <v>2025</v>
      </c>
      <c r="Y6" s="489">
        <v>2026</v>
      </c>
      <c r="Z6" s="489">
        <v>2027</v>
      </c>
    </row>
    <row r="7" spans="2:26">
      <c r="B7" s="3" t="s">
        <v>56</v>
      </c>
      <c r="C7" s="8">
        <f t="shared" ref="C7:C35" si="1">SUM(D7:I7)</f>
        <v>2968730.5843681567</v>
      </c>
      <c r="D7" s="9">
        <f>W7/Parametre!$C$26</f>
        <v>1484365.2921840784</v>
      </c>
      <c r="E7" s="9">
        <f>X7/Parametre!$C$26</f>
        <v>1484365.2921840784</v>
      </c>
      <c r="F7" s="9">
        <f>Y7/Parametre!$C$26</f>
        <v>0</v>
      </c>
      <c r="G7" s="9">
        <f>Z7/Parametre!$C$26</f>
        <v>0</v>
      </c>
      <c r="H7" s="9"/>
      <c r="I7" s="9"/>
      <c r="U7" s="3" t="s">
        <v>56</v>
      </c>
      <c r="V7" s="8">
        <f>SUM(W7:Z7)</f>
        <v>2566857.3592720297</v>
      </c>
      <c r="W7" s="490">
        <v>1283428.6796360149</v>
      </c>
      <c r="X7" s="490">
        <v>1283428.6796360149</v>
      </c>
      <c r="Y7" s="490">
        <v>0</v>
      </c>
      <c r="Z7" s="490">
        <v>0</v>
      </c>
    </row>
    <row r="8" spans="2:26">
      <c r="B8" s="3" t="s">
        <v>33</v>
      </c>
      <c r="C8" s="8">
        <f t="shared" si="1"/>
        <v>0</v>
      </c>
      <c r="D8" s="9">
        <f>W8/Parametre!$C$26</f>
        <v>0</v>
      </c>
      <c r="E8" s="9">
        <f>X8/Parametre!$C$26</f>
        <v>0</v>
      </c>
      <c r="F8" s="9">
        <f>Y8/Parametre!$C$26</f>
        <v>0</v>
      </c>
      <c r="G8" s="9">
        <f>Z8/Parametre!$C$26</f>
        <v>0</v>
      </c>
      <c r="H8" s="9"/>
      <c r="I8" s="9"/>
      <c r="U8" s="3" t="s">
        <v>33</v>
      </c>
      <c r="V8" s="8">
        <f t="shared" ref="V8:V9" si="2">SUM(W8:Z8)</f>
        <v>0</v>
      </c>
      <c r="W8" s="490">
        <v>0</v>
      </c>
      <c r="X8" s="8">
        <v>0</v>
      </c>
      <c r="Y8" s="8">
        <v>0</v>
      </c>
      <c r="Z8" s="8">
        <v>0</v>
      </c>
    </row>
    <row r="9" spans="2:26">
      <c r="B9" s="3" t="s">
        <v>48</v>
      </c>
      <c r="C9" s="8">
        <f t="shared" si="1"/>
        <v>0</v>
      </c>
      <c r="D9" s="9">
        <f>W9/Parametre!$C$26</f>
        <v>0</v>
      </c>
      <c r="E9" s="9">
        <f>X9/Parametre!$C$26</f>
        <v>0</v>
      </c>
      <c r="F9" s="9">
        <f>Y9/Parametre!$C$26</f>
        <v>0</v>
      </c>
      <c r="G9" s="9">
        <f>Z9/Parametre!$C$26</f>
        <v>0</v>
      </c>
      <c r="H9" s="9"/>
      <c r="I9" s="9"/>
      <c r="U9" s="3" t="s">
        <v>48</v>
      </c>
      <c r="V9" s="8">
        <f t="shared" si="2"/>
        <v>0</v>
      </c>
      <c r="W9" s="490">
        <v>0</v>
      </c>
      <c r="X9" s="8">
        <v>0</v>
      </c>
      <c r="Y9" s="8">
        <v>0</v>
      </c>
      <c r="Z9" s="8">
        <v>0</v>
      </c>
    </row>
    <row r="10" spans="2:26">
      <c r="B10" s="3" t="s">
        <v>62</v>
      </c>
      <c r="C10" s="8">
        <f t="shared" si="1"/>
        <v>31249795.624927964</v>
      </c>
      <c r="D10" s="8">
        <f t="shared" ref="D10:I10" si="3">SUM(D11:D27)</f>
        <v>0</v>
      </c>
      <c r="E10" s="8">
        <f t="shared" si="3"/>
        <v>7812448.906231991</v>
      </c>
      <c r="F10" s="8">
        <f t="shared" si="3"/>
        <v>7812448.906231991</v>
      </c>
      <c r="G10" s="8">
        <f t="shared" si="3"/>
        <v>15624897.812463982</v>
      </c>
      <c r="H10" s="8">
        <f t="shared" si="3"/>
        <v>0</v>
      </c>
      <c r="I10" s="8">
        <f t="shared" si="3"/>
        <v>0</v>
      </c>
      <c r="U10" s="3" t="s">
        <v>62</v>
      </c>
      <c r="V10" s="13">
        <f>SUM(W10:X10)</f>
        <v>6754887.7875579726</v>
      </c>
      <c r="W10" s="13">
        <f t="shared" ref="W10:Z10" si="4">SUM(W11:W27)</f>
        <v>0</v>
      </c>
      <c r="X10" s="13">
        <f t="shared" si="4"/>
        <v>6754887.7875579726</v>
      </c>
      <c r="Y10" s="13">
        <f t="shared" si="4"/>
        <v>6754887.7875579726</v>
      </c>
      <c r="Z10" s="13">
        <f t="shared" si="4"/>
        <v>13509775.575115945</v>
      </c>
    </row>
    <row r="11" spans="2:26">
      <c r="B11" s="125" t="s">
        <v>435</v>
      </c>
      <c r="C11" s="126">
        <f t="shared" si="1"/>
        <v>0</v>
      </c>
      <c r="D11" s="127">
        <f>W11/Parametre!$C$26</f>
        <v>0</v>
      </c>
      <c r="E11" s="127">
        <f>X11/Parametre!$C$26</f>
        <v>0</v>
      </c>
      <c r="F11" s="127">
        <f>Y11/Parametre!$C$26</f>
        <v>0</v>
      </c>
      <c r="G11" s="127">
        <f>Z11/Parametre!$C$26</f>
        <v>0</v>
      </c>
      <c r="H11" s="127"/>
      <c r="I11" s="127"/>
      <c r="U11" s="125" t="s">
        <v>435</v>
      </c>
      <c r="V11" s="126">
        <f>SUM(W11:Z11)</f>
        <v>0</v>
      </c>
      <c r="W11" s="490">
        <v>0</v>
      </c>
      <c r="X11" s="126">
        <v>0</v>
      </c>
      <c r="Y11" s="126">
        <v>0</v>
      </c>
      <c r="Z11" s="126">
        <v>0</v>
      </c>
    </row>
    <row r="12" spans="2:26">
      <c r="B12" s="125" t="s">
        <v>486</v>
      </c>
      <c r="C12" s="126">
        <f t="shared" si="1"/>
        <v>0</v>
      </c>
      <c r="D12" s="127">
        <f>W12/Parametre!$C$26</f>
        <v>0</v>
      </c>
      <c r="E12" s="127">
        <f>X12/Parametre!$C$26</f>
        <v>0</v>
      </c>
      <c r="F12" s="127">
        <f>Y12/Parametre!$C$26</f>
        <v>0</v>
      </c>
      <c r="G12" s="127">
        <f>Z12/Parametre!$C$26</f>
        <v>0</v>
      </c>
      <c r="H12" s="127"/>
      <c r="I12" s="127"/>
      <c r="U12" s="125" t="s">
        <v>486</v>
      </c>
      <c r="V12" s="126">
        <f t="shared" ref="V12:V29" si="5">SUM(W12:Z12)</f>
        <v>0</v>
      </c>
      <c r="W12" s="490">
        <v>0</v>
      </c>
      <c r="X12" s="126">
        <v>0</v>
      </c>
      <c r="Y12" s="126">
        <v>0</v>
      </c>
      <c r="Z12" s="126">
        <v>0</v>
      </c>
    </row>
    <row r="13" spans="2:26">
      <c r="B13" s="125" t="s">
        <v>29</v>
      </c>
      <c r="C13" s="126">
        <f t="shared" si="1"/>
        <v>0</v>
      </c>
      <c r="D13" s="127">
        <f>W13/Parametre!$C$26</f>
        <v>0</v>
      </c>
      <c r="E13" s="127">
        <f>X13/Parametre!$C$26</f>
        <v>0</v>
      </c>
      <c r="F13" s="127">
        <f>Y13/Parametre!$C$26</f>
        <v>0</v>
      </c>
      <c r="G13" s="127">
        <f>Z13/Parametre!$C$26</f>
        <v>0</v>
      </c>
      <c r="H13" s="127"/>
      <c r="I13" s="127"/>
      <c r="U13" s="125" t="s">
        <v>29</v>
      </c>
      <c r="V13" s="126">
        <f t="shared" si="5"/>
        <v>0</v>
      </c>
      <c r="W13" s="490">
        <v>0</v>
      </c>
      <c r="X13" s="126">
        <v>0</v>
      </c>
      <c r="Y13" s="126">
        <v>0</v>
      </c>
      <c r="Z13" s="126">
        <v>0</v>
      </c>
    </row>
    <row r="14" spans="2:26">
      <c r="B14" s="125" t="s">
        <v>38</v>
      </c>
      <c r="C14" s="126">
        <f t="shared" si="1"/>
        <v>184278.57884466989</v>
      </c>
      <c r="D14" s="127">
        <f>W14/Parametre!$C$26</f>
        <v>0</v>
      </c>
      <c r="E14" s="127">
        <f>X14/Parametre!$C$26</f>
        <v>46069.644711167472</v>
      </c>
      <c r="F14" s="127">
        <f>Y14/Parametre!$C$26</f>
        <v>46069.644711167472</v>
      </c>
      <c r="G14" s="127">
        <f>Z14/Parametre!$C$26</f>
        <v>92139.289422334943</v>
      </c>
      <c r="H14" s="127"/>
      <c r="I14" s="127"/>
      <c r="U14" s="125" t="s">
        <v>38</v>
      </c>
      <c r="V14" s="126">
        <f t="shared" si="5"/>
        <v>159333.02562189399</v>
      </c>
      <c r="W14" s="490">
        <v>0</v>
      </c>
      <c r="X14" s="126">
        <v>39833.256405473498</v>
      </c>
      <c r="Y14" s="126">
        <v>39833.256405473498</v>
      </c>
      <c r="Z14" s="126">
        <v>79666.512810946995</v>
      </c>
    </row>
    <row r="15" spans="2:26">
      <c r="B15" s="125" t="s">
        <v>437</v>
      </c>
      <c r="C15" s="126">
        <f t="shared" si="1"/>
        <v>0</v>
      </c>
      <c r="D15" s="127">
        <f>W15/Parametre!$C$26</f>
        <v>0</v>
      </c>
      <c r="E15" s="127">
        <f>X15/Parametre!$C$26</f>
        <v>0</v>
      </c>
      <c r="F15" s="127">
        <f>Y15/Parametre!$C$26</f>
        <v>0</v>
      </c>
      <c r="G15" s="127">
        <f>Z15/Parametre!$C$26</f>
        <v>0</v>
      </c>
      <c r="H15" s="127"/>
      <c r="I15" s="127"/>
      <c r="U15" s="125" t="s">
        <v>437</v>
      </c>
      <c r="V15" s="126">
        <f t="shared" si="5"/>
        <v>0</v>
      </c>
      <c r="W15" s="490">
        <v>0</v>
      </c>
      <c r="X15" s="126">
        <v>0</v>
      </c>
      <c r="Y15" s="126">
        <v>0</v>
      </c>
      <c r="Z15" s="126">
        <v>0</v>
      </c>
    </row>
    <row r="16" spans="2:26">
      <c r="B16" s="125" t="s">
        <v>438</v>
      </c>
      <c r="C16" s="126">
        <f t="shared" si="1"/>
        <v>0</v>
      </c>
      <c r="D16" s="127">
        <f>W16/Parametre!$C$26</f>
        <v>0</v>
      </c>
      <c r="E16" s="127">
        <f>X16/Parametre!$C$26</f>
        <v>0</v>
      </c>
      <c r="F16" s="127">
        <f>Y16/Parametre!$C$26</f>
        <v>0</v>
      </c>
      <c r="G16" s="127">
        <f>Z16/Parametre!$C$26</f>
        <v>0</v>
      </c>
      <c r="H16" s="127"/>
      <c r="I16" s="127"/>
      <c r="U16" s="125" t="s">
        <v>438</v>
      </c>
      <c r="V16" s="126">
        <f t="shared" si="5"/>
        <v>0</v>
      </c>
      <c r="W16" s="490">
        <v>0</v>
      </c>
      <c r="X16" s="126">
        <v>0</v>
      </c>
      <c r="Y16" s="126">
        <v>0</v>
      </c>
      <c r="Z16" s="126">
        <v>0</v>
      </c>
    </row>
    <row r="17" spans="2:26">
      <c r="B17" s="125" t="s">
        <v>439</v>
      </c>
      <c r="C17" s="126">
        <f t="shared" si="1"/>
        <v>0</v>
      </c>
      <c r="D17" s="127">
        <f>W17/Parametre!$C$26</f>
        <v>0</v>
      </c>
      <c r="E17" s="127">
        <f>X17/Parametre!$C$26</f>
        <v>0</v>
      </c>
      <c r="F17" s="127">
        <f>Y17/Parametre!$C$26</f>
        <v>0</v>
      </c>
      <c r="G17" s="127">
        <f>Z17/Parametre!$C$26</f>
        <v>0</v>
      </c>
      <c r="H17" s="127"/>
      <c r="I17" s="127"/>
      <c r="U17" s="125" t="s">
        <v>439</v>
      </c>
      <c r="V17" s="126">
        <f t="shared" si="5"/>
        <v>0</v>
      </c>
      <c r="W17" s="490">
        <v>0</v>
      </c>
      <c r="X17" s="126">
        <v>0</v>
      </c>
      <c r="Y17" s="126">
        <v>0</v>
      </c>
      <c r="Z17" s="126">
        <v>0</v>
      </c>
    </row>
    <row r="18" spans="2:26">
      <c r="B18" s="125" t="s">
        <v>440</v>
      </c>
      <c r="C18" s="126">
        <f t="shared" si="1"/>
        <v>730295.77079465857</v>
      </c>
      <c r="D18" s="127">
        <f>W18/Parametre!$C$26</f>
        <v>0</v>
      </c>
      <c r="E18" s="127">
        <f>X18/Parametre!$C$26</f>
        <v>182573.94269866464</v>
      </c>
      <c r="F18" s="127">
        <f>Y18/Parametre!$C$26</f>
        <v>182573.94269866464</v>
      </c>
      <c r="G18" s="127">
        <f>Z18/Parametre!$C$26</f>
        <v>365147.88539732929</v>
      </c>
      <c r="H18" s="127"/>
      <c r="I18" s="127"/>
      <c r="U18" s="125" t="s">
        <v>440</v>
      </c>
      <c r="V18" s="126">
        <f t="shared" si="5"/>
        <v>631436.57547775679</v>
      </c>
      <c r="W18" s="490">
        <v>0</v>
      </c>
      <c r="X18" s="126">
        <v>157859.1438694392</v>
      </c>
      <c r="Y18" s="126">
        <v>157859.1438694392</v>
      </c>
      <c r="Z18" s="126">
        <v>315718.2877388784</v>
      </c>
    </row>
    <row r="19" spans="2:26">
      <c r="B19" s="125" t="s">
        <v>441</v>
      </c>
      <c r="C19" s="126">
        <f t="shared" si="1"/>
        <v>0</v>
      </c>
      <c r="D19" s="127">
        <f>W19/Parametre!$C$26</f>
        <v>0</v>
      </c>
      <c r="E19" s="127">
        <f>X19/Parametre!$C$26</f>
        <v>0</v>
      </c>
      <c r="F19" s="127">
        <f>Y19/Parametre!$C$26</f>
        <v>0</v>
      </c>
      <c r="G19" s="127">
        <f>Z19/Parametre!$C$26</f>
        <v>0</v>
      </c>
      <c r="H19" s="127"/>
      <c r="I19" s="127"/>
      <c r="U19" s="125" t="s">
        <v>441</v>
      </c>
      <c r="V19" s="126">
        <f t="shared" si="5"/>
        <v>0</v>
      </c>
      <c r="W19" s="490">
        <v>0</v>
      </c>
      <c r="X19" s="126">
        <v>0</v>
      </c>
      <c r="Y19" s="126">
        <v>0</v>
      </c>
      <c r="Z19" s="126">
        <v>0</v>
      </c>
    </row>
    <row r="20" spans="2:26">
      <c r="B20" s="125" t="s">
        <v>442</v>
      </c>
      <c r="C20" s="126">
        <f t="shared" si="1"/>
        <v>0</v>
      </c>
      <c r="D20" s="127">
        <f>W20/Parametre!$C$26</f>
        <v>0</v>
      </c>
      <c r="E20" s="127">
        <f>X20/Parametre!$C$26</f>
        <v>0</v>
      </c>
      <c r="F20" s="127">
        <f>Y20/Parametre!$C$26</f>
        <v>0</v>
      </c>
      <c r="G20" s="127">
        <f>Z20/Parametre!$C$26</f>
        <v>0</v>
      </c>
      <c r="H20" s="127"/>
      <c r="I20" s="127"/>
      <c r="U20" s="125" t="s">
        <v>442</v>
      </c>
      <c r="V20" s="126">
        <f t="shared" si="5"/>
        <v>0</v>
      </c>
      <c r="W20" s="490">
        <v>0</v>
      </c>
      <c r="X20" s="126">
        <v>0</v>
      </c>
      <c r="Y20" s="126">
        <v>0</v>
      </c>
      <c r="Z20" s="126">
        <v>0</v>
      </c>
    </row>
    <row r="21" spans="2:26">
      <c r="B21" s="125" t="s">
        <v>443</v>
      </c>
      <c r="C21" s="126">
        <f t="shared" si="1"/>
        <v>11427703.651698112</v>
      </c>
      <c r="D21" s="127">
        <f>W21/Parametre!$C$26</f>
        <v>0</v>
      </c>
      <c r="E21" s="127">
        <f>X21/Parametre!$C$26</f>
        <v>2856925.9129245281</v>
      </c>
      <c r="F21" s="127">
        <f>Y21/Parametre!$C$26</f>
        <v>2856925.9129245281</v>
      </c>
      <c r="G21" s="127">
        <f>Z21/Parametre!$C$26</f>
        <v>5713851.8258490562</v>
      </c>
      <c r="H21" s="127"/>
      <c r="I21" s="127"/>
      <c r="U21" s="125" t="s">
        <v>443</v>
      </c>
      <c r="V21" s="126">
        <f t="shared" si="5"/>
        <v>9880750.1672248356</v>
      </c>
      <c r="W21" s="490">
        <v>0</v>
      </c>
      <c r="X21" s="126">
        <v>2470187.5418062089</v>
      </c>
      <c r="Y21" s="126">
        <v>2470187.5418062089</v>
      </c>
      <c r="Z21" s="126">
        <v>4940375.0836124178</v>
      </c>
    </row>
    <row r="22" spans="2:26">
      <c r="B22" s="125" t="s">
        <v>444</v>
      </c>
      <c r="C22" s="126">
        <f t="shared" si="1"/>
        <v>16468447.850147346</v>
      </c>
      <c r="D22" s="127">
        <f>W22/Parametre!$C$26</f>
        <v>0</v>
      </c>
      <c r="E22" s="127">
        <f>X22/Parametre!$C$26</f>
        <v>4117111.9625368365</v>
      </c>
      <c r="F22" s="127">
        <f>Y22/Parametre!$C$26</f>
        <v>4117111.9625368365</v>
      </c>
      <c r="G22" s="127">
        <f>Z22/Parametre!$C$26</f>
        <v>8234223.925073673</v>
      </c>
      <c r="H22" s="127"/>
      <c r="I22" s="127"/>
      <c r="U22" s="125" t="s">
        <v>444</v>
      </c>
      <c r="V22" s="126">
        <f t="shared" si="5"/>
        <v>14239135.333641348</v>
      </c>
      <c r="W22" s="490">
        <v>0</v>
      </c>
      <c r="X22" s="126">
        <v>3559783.8334103371</v>
      </c>
      <c r="Y22" s="126">
        <v>3559783.8334103371</v>
      </c>
      <c r="Z22" s="126">
        <v>7119567.6668206742</v>
      </c>
    </row>
    <row r="23" spans="2:26">
      <c r="B23" s="125" t="s">
        <v>445</v>
      </c>
      <c r="C23" s="126">
        <f t="shared" si="1"/>
        <v>2439069.7734431773</v>
      </c>
      <c r="D23" s="127">
        <f>W23/Parametre!$C$26</f>
        <v>0</v>
      </c>
      <c r="E23" s="127">
        <f>X23/Parametre!$C$26</f>
        <v>609767.44336079434</v>
      </c>
      <c r="F23" s="127">
        <f>Y23/Parametre!$C$26</f>
        <v>609767.44336079434</v>
      </c>
      <c r="G23" s="127">
        <f>Z23/Parametre!$C$26</f>
        <v>1219534.8867215887</v>
      </c>
      <c r="H23" s="127"/>
      <c r="I23" s="127"/>
      <c r="U23" s="125" t="s">
        <v>445</v>
      </c>
      <c r="V23" s="126">
        <f t="shared" si="5"/>
        <v>2108896.0482660551</v>
      </c>
      <c r="W23" s="490">
        <v>0</v>
      </c>
      <c r="X23" s="126">
        <v>527224.01206651377</v>
      </c>
      <c r="Y23" s="126">
        <v>527224.01206651377</v>
      </c>
      <c r="Z23" s="126">
        <v>1054448.0241330275</v>
      </c>
    </row>
    <row r="24" spans="2:26">
      <c r="B24" s="125" t="s">
        <v>446</v>
      </c>
      <c r="C24" s="126">
        <f t="shared" si="1"/>
        <v>0</v>
      </c>
      <c r="D24" s="127">
        <f>W24/Parametre!$C$26</f>
        <v>0</v>
      </c>
      <c r="E24" s="127">
        <f>X24/Parametre!$C$26</f>
        <v>0</v>
      </c>
      <c r="F24" s="127">
        <f>Y24/Parametre!$C$26</f>
        <v>0</v>
      </c>
      <c r="G24" s="127">
        <f>Z24/Parametre!$C$26</f>
        <v>0</v>
      </c>
      <c r="H24" s="127"/>
      <c r="I24" s="127"/>
      <c r="U24" s="125" t="s">
        <v>446</v>
      </c>
      <c r="V24" s="126">
        <f t="shared" si="5"/>
        <v>0</v>
      </c>
      <c r="W24" s="490">
        <v>0</v>
      </c>
      <c r="X24" s="126">
        <v>0</v>
      </c>
      <c r="Y24" s="126">
        <v>0</v>
      </c>
      <c r="Z24" s="126">
        <v>0</v>
      </c>
    </row>
    <row r="25" spans="2:26">
      <c r="B25" s="125" t="s">
        <v>447</v>
      </c>
      <c r="C25" s="126">
        <f t="shared" si="1"/>
        <v>0</v>
      </c>
      <c r="D25" s="127">
        <f>W25/Parametre!$C$26</f>
        <v>0</v>
      </c>
      <c r="E25" s="127">
        <f>X25/Parametre!$C$26</f>
        <v>0</v>
      </c>
      <c r="F25" s="127">
        <f>Y25/Parametre!$C$26</f>
        <v>0</v>
      </c>
      <c r="G25" s="127">
        <f>Z25/Parametre!$C$26</f>
        <v>0</v>
      </c>
      <c r="H25" s="127"/>
      <c r="I25" s="127"/>
      <c r="U25" s="125" t="s">
        <v>447</v>
      </c>
      <c r="V25" s="126">
        <f t="shared" si="5"/>
        <v>0</v>
      </c>
      <c r="W25" s="490">
        <v>0</v>
      </c>
      <c r="X25" s="126">
        <v>0</v>
      </c>
      <c r="Y25" s="126">
        <v>0</v>
      </c>
      <c r="Z25" s="126">
        <v>0</v>
      </c>
    </row>
    <row r="26" spans="2:26">
      <c r="B26" s="125" t="s">
        <v>45</v>
      </c>
      <c r="C26" s="126">
        <f t="shared" si="1"/>
        <v>0</v>
      </c>
      <c r="D26" s="127">
        <f>W26/Parametre!$C$26</f>
        <v>0</v>
      </c>
      <c r="E26" s="127">
        <f>X26/Parametre!$C$26</f>
        <v>0</v>
      </c>
      <c r="F26" s="127">
        <f>Y26/Parametre!$C$26</f>
        <v>0</v>
      </c>
      <c r="G26" s="127">
        <f>Z26/Parametre!$C$26</f>
        <v>0</v>
      </c>
      <c r="H26" s="127"/>
      <c r="I26" s="127"/>
      <c r="K26" s="128" t="s">
        <v>487</v>
      </c>
      <c r="U26" s="125" t="s">
        <v>45</v>
      </c>
      <c r="V26" s="126">
        <f t="shared" si="5"/>
        <v>0</v>
      </c>
      <c r="W26" s="490">
        <v>0</v>
      </c>
      <c r="X26" s="126">
        <v>0</v>
      </c>
      <c r="Y26" s="126">
        <v>0</v>
      </c>
      <c r="Z26" s="126">
        <v>0</v>
      </c>
    </row>
    <row r="27" spans="2:26">
      <c r="B27" s="125" t="s">
        <v>63</v>
      </c>
      <c r="C27" s="126">
        <f t="shared" si="1"/>
        <v>0</v>
      </c>
      <c r="D27" s="127">
        <f>W27/Parametre!$C$26</f>
        <v>0</v>
      </c>
      <c r="E27" s="127">
        <f>X27/Parametre!$C$26</f>
        <v>0</v>
      </c>
      <c r="F27" s="127">
        <f>Y27/Parametre!$C$26</f>
        <v>0</v>
      </c>
      <c r="G27" s="127">
        <f>Z27/Parametre!$C$26</f>
        <v>0</v>
      </c>
      <c r="H27" s="127"/>
      <c r="I27" s="127"/>
      <c r="K27" s="128"/>
      <c r="U27" s="125" t="s">
        <v>63</v>
      </c>
      <c r="V27" s="126">
        <f t="shared" si="5"/>
        <v>0</v>
      </c>
      <c r="W27" s="490">
        <v>0</v>
      </c>
      <c r="X27" s="126">
        <v>0</v>
      </c>
      <c r="Y27" s="126">
        <v>0</v>
      </c>
      <c r="Z27" s="126">
        <v>0</v>
      </c>
    </row>
    <row r="28" spans="2:26">
      <c r="B28" s="3" t="s">
        <v>47</v>
      </c>
      <c r="C28" s="8">
        <f t="shared" si="1"/>
        <v>0</v>
      </c>
      <c r="D28" s="127">
        <f>W28/Parametre!$C$26</f>
        <v>0</v>
      </c>
      <c r="E28" s="127">
        <f>X28/Parametre!$C$26</f>
        <v>0</v>
      </c>
      <c r="F28" s="127">
        <f>Y28/Parametre!$C$26</f>
        <v>0</v>
      </c>
      <c r="G28" s="127">
        <f>Z28/Parametre!$C$26</f>
        <v>0</v>
      </c>
      <c r="H28" s="127"/>
      <c r="I28" s="127"/>
      <c r="U28" s="3" t="s">
        <v>47</v>
      </c>
      <c r="V28" s="126">
        <f t="shared" si="5"/>
        <v>0</v>
      </c>
      <c r="W28" s="9"/>
      <c r="X28" s="9"/>
      <c r="Y28" s="9"/>
      <c r="Z28" s="9"/>
    </row>
    <row r="29" spans="2:26">
      <c r="B29" s="3" t="s">
        <v>64</v>
      </c>
      <c r="C29" s="8">
        <f t="shared" si="1"/>
        <v>0</v>
      </c>
      <c r="D29" s="127">
        <f>W29/Parametre!$C$26</f>
        <v>0</v>
      </c>
      <c r="E29" s="127">
        <f>X29/Parametre!$C$26</f>
        <v>0</v>
      </c>
      <c r="F29" s="127">
        <f>Y29/Parametre!$C$26</f>
        <v>0</v>
      </c>
      <c r="G29" s="127">
        <f>Z29/Parametre!$C$26</f>
        <v>0</v>
      </c>
      <c r="H29" s="127"/>
      <c r="I29" s="127"/>
      <c r="U29" s="3" t="s">
        <v>64</v>
      </c>
      <c r="V29" s="126">
        <f t="shared" si="5"/>
        <v>0</v>
      </c>
      <c r="W29" s="9"/>
      <c r="X29" s="9"/>
      <c r="Y29" s="9"/>
      <c r="Z29" s="9"/>
    </row>
    <row r="30" spans="2:26" s="12" customFormat="1">
      <c r="B30" s="10" t="s">
        <v>270</v>
      </c>
      <c r="C30" s="11">
        <f t="shared" si="1"/>
        <v>34218526.209296122</v>
      </c>
      <c r="D30" s="11">
        <f t="shared" ref="D30:F30" si="6">SUM(D7:D10,D28:D29)</f>
        <v>1484365.2921840784</v>
      </c>
      <c r="E30" s="11">
        <f t="shared" si="6"/>
        <v>9296814.1984160691</v>
      </c>
      <c r="F30" s="11">
        <f t="shared" si="6"/>
        <v>7812448.906231991</v>
      </c>
      <c r="G30" s="11">
        <f t="shared" ref="G30:I30" si="7">SUM(G7:G10,G28:G29)</f>
        <v>15624897.812463982</v>
      </c>
      <c r="H30" s="11">
        <f t="shared" si="7"/>
        <v>0</v>
      </c>
      <c r="I30" s="11">
        <f t="shared" si="7"/>
        <v>0</v>
      </c>
      <c r="U30" s="10" t="s">
        <v>270</v>
      </c>
      <c r="V30" s="11">
        <f>SUM(W30:Z30)</f>
        <v>29586408.50950392</v>
      </c>
      <c r="W30" s="11">
        <f t="shared" ref="W30:Z30" si="8">SUM(W7:W10,W28:W29)</f>
        <v>1283428.6796360149</v>
      </c>
      <c r="X30" s="11">
        <f t="shared" si="8"/>
        <v>8038316.4671939872</v>
      </c>
      <c r="Y30" s="11">
        <f t="shared" si="8"/>
        <v>6754887.7875579726</v>
      </c>
      <c r="Z30" s="11">
        <f t="shared" si="8"/>
        <v>13509775.575115945</v>
      </c>
    </row>
    <row r="31" spans="2:26">
      <c r="B31" s="3" t="s">
        <v>57</v>
      </c>
      <c r="C31" s="8">
        <f t="shared" si="1"/>
        <v>3124979.5624927967</v>
      </c>
      <c r="D31" s="9">
        <f>D10*0.1</f>
        <v>0</v>
      </c>
      <c r="E31" s="9">
        <f t="shared" ref="E31:F31" si="9">E10*0.1</f>
        <v>781244.89062319917</v>
      </c>
      <c r="F31" s="9">
        <f t="shared" si="9"/>
        <v>781244.89062319917</v>
      </c>
      <c r="G31" s="9">
        <f t="shared" ref="G31:I31" si="10">G10*0.1</f>
        <v>1562489.7812463983</v>
      </c>
      <c r="H31" s="9">
        <f t="shared" si="10"/>
        <v>0</v>
      </c>
      <c r="I31" s="9">
        <f t="shared" si="10"/>
        <v>0</v>
      </c>
    </row>
    <row r="32" spans="2:26">
      <c r="B32" s="3" t="s">
        <v>268</v>
      </c>
      <c r="C32" s="8">
        <f t="shared" si="1"/>
        <v>0</v>
      </c>
      <c r="D32" s="9">
        <v>0</v>
      </c>
      <c r="E32" s="9">
        <v>0</v>
      </c>
      <c r="F32" s="9">
        <v>0</v>
      </c>
      <c r="G32" s="9">
        <v>0</v>
      </c>
      <c r="H32" s="9">
        <v>0</v>
      </c>
      <c r="I32" s="9">
        <v>0</v>
      </c>
    </row>
    <row r="33" spans="2:11" ht="11.25" customHeight="1">
      <c r="B33" s="10" t="s">
        <v>269</v>
      </c>
      <c r="C33" s="13">
        <f t="shared" si="1"/>
        <v>37343505.771788925</v>
      </c>
      <c r="D33" s="13">
        <f>SUM(D30:D32)</f>
        <v>1484365.2921840784</v>
      </c>
      <c r="E33" s="13">
        <f t="shared" ref="E33:F33" si="11">SUM(E30:E32)</f>
        <v>10078059.089039268</v>
      </c>
      <c r="F33" s="13">
        <f t="shared" si="11"/>
        <v>8593693.7968551908</v>
      </c>
      <c r="G33" s="13">
        <f t="shared" ref="G33:I33" si="12">SUM(G30:G32)</f>
        <v>17187387.593710382</v>
      </c>
      <c r="H33" s="13">
        <f t="shared" si="12"/>
        <v>0</v>
      </c>
      <c r="I33" s="13">
        <f t="shared" si="12"/>
        <v>0</v>
      </c>
    </row>
    <row r="34" spans="2:11">
      <c r="B34" s="3" t="s">
        <v>65</v>
      </c>
      <c r="C34" s="8">
        <f t="shared" si="1"/>
        <v>7468701.1543577835</v>
      </c>
      <c r="D34" s="9">
        <f>D33*0.2</f>
        <v>296873.05843681569</v>
      </c>
      <c r="E34" s="9">
        <f t="shared" ref="E34:F34" si="13">E33*0.2</f>
        <v>2015611.8178078537</v>
      </c>
      <c r="F34" s="9">
        <f t="shared" si="13"/>
        <v>1718738.7593710383</v>
      </c>
      <c r="G34" s="9">
        <f t="shared" ref="G34:I34" si="14">G33*0.2</f>
        <v>3437477.5187420766</v>
      </c>
      <c r="H34" s="9">
        <f t="shared" si="14"/>
        <v>0</v>
      </c>
      <c r="I34" s="9">
        <f t="shared" si="14"/>
        <v>0</v>
      </c>
    </row>
    <row r="35" spans="2:11">
      <c r="B35" s="4" t="s">
        <v>250</v>
      </c>
      <c r="C35" s="13">
        <f t="shared" si="1"/>
        <v>44812206.926146701</v>
      </c>
      <c r="D35" s="13">
        <f t="shared" ref="D35:F35" si="15">SUM(D33:D34)</f>
        <v>1781238.350620894</v>
      </c>
      <c r="E35" s="13">
        <f t="shared" si="15"/>
        <v>12093670.906847121</v>
      </c>
      <c r="F35" s="13">
        <f t="shared" si="15"/>
        <v>10312432.556226229</v>
      </c>
      <c r="G35" s="13">
        <f t="shared" ref="G35:I35" si="16">SUM(G33:G34)</f>
        <v>20624865.112452459</v>
      </c>
      <c r="H35" s="13">
        <f t="shared" si="16"/>
        <v>0</v>
      </c>
      <c r="I35" s="13">
        <f t="shared" si="16"/>
        <v>0</v>
      </c>
    </row>
    <row r="36" spans="2:11">
      <c r="C36" s="14"/>
      <c r="D36" s="14"/>
      <c r="E36" s="14"/>
      <c r="F36" s="14"/>
      <c r="G36" s="14"/>
      <c r="H36" s="14"/>
      <c r="I36" s="14"/>
    </row>
    <row r="37" spans="2:11">
      <c r="B37" s="129" t="s">
        <v>251</v>
      </c>
      <c r="C37" s="130">
        <f>SUM(D37:I37)</f>
        <v>37343505.771788925</v>
      </c>
      <c r="D37" s="131">
        <f>D33</f>
        <v>1484365.2921840784</v>
      </c>
      <c r="E37" s="131">
        <f t="shared" ref="E37:F37" si="17">E33</f>
        <v>10078059.089039268</v>
      </c>
      <c r="F37" s="131">
        <f t="shared" si="17"/>
        <v>8593693.7968551908</v>
      </c>
      <c r="G37" s="131">
        <f t="shared" ref="G37:I37" si="18">G33</f>
        <v>17187387.593710382</v>
      </c>
      <c r="H37" s="131">
        <f t="shared" si="18"/>
        <v>0</v>
      </c>
      <c r="I37" s="131">
        <f t="shared" si="18"/>
        <v>0</v>
      </c>
    </row>
    <row r="38" spans="2:11">
      <c r="B38" s="129" t="s">
        <v>272</v>
      </c>
      <c r="C38" s="130">
        <f>SUM(D38:I38)</f>
        <v>26749825.054938339</v>
      </c>
      <c r="D38" s="130">
        <f>D37-D31-D32-D34</f>
        <v>1187492.2337472627</v>
      </c>
      <c r="E38" s="130">
        <f t="shared" ref="E38:F38" si="19">E37-E31-E32-E34</f>
        <v>7281202.3806082159</v>
      </c>
      <c r="F38" s="130">
        <f t="shared" si="19"/>
        <v>6093710.1468609534</v>
      </c>
      <c r="G38" s="130">
        <f t="shared" ref="G38:I38" si="20">G37-G31-G32-G34</f>
        <v>12187420.293721907</v>
      </c>
      <c r="H38" s="130">
        <f t="shared" si="20"/>
        <v>0</v>
      </c>
      <c r="I38" s="130">
        <f t="shared" si="20"/>
        <v>0</v>
      </c>
    </row>
    <row r="39" spans="2:11">
      <c r="B39" s="129" t="s">
        <v>252</v>
      </c>
      <c r="C39" s="130">
        <f>SUM(D39:I39)</f>
        <v>7468701.1543577844</v>
      </c>
      <c r="D39" s="130">
        <f>D35-D37</f>
        <v>296873.05843681563</v>
      </c>
      <c r="E39" s="130">
        <f t="shared" ref="E39:F39" si="21">E35-E37</f>
        <v>2015611.8178078532</v>
      </c>
      <c r="F39" s="130">
        <f t="shared" si="21"/>
        <v>1718738.7593710385</v>
      </c>
      <c r="G39" s="130">
        <f t="shared" ref="G39:I39" si="22">G35-G37</f>
        <v>3437477.5187420771</v>
      </c>
      <c r="H39" s="130">
        <f t="shared" si="22"/>
        <v>0</v>
      </c>
      <c r="I39" s="130">
        <f t="shared" si="22"/>
        <v>0</v>
      </c>
    </row>
    <row r="40" spans="2:11">
      <c r="B40" s="1" t="s">
        <v>66</v>
      </c>
    </row>
    <row r="42" spans="2:11">
      <c r="B42" s="3"/>
      <c r="C42" s="3"/>
      <c r="D42" s="3" t="s">
        <v>9</v>
      </c>
      <c r="E42" s="3"/>
      <c r="F42" s="3"/>
      <c r="G42" s="3"/>
      <c r="H42" s="3"/>
      <c r="I42" s="3"/>
      <c r="K42" s="2" t="s">
        <v>248</v>
      </c>
    </row>
    <row r="43" spans="2:11">
      <c r="B43" s="4"/>
      <c r="C43" s="4"/>
      <c r="D43" s="5">
        <v>1</v>
      </c>
      <c r="E43" s="5">
        <v>2</v>
      </c>
      <c r="F43" s="5">
        <v>3</v>
      </c>
      <c r="G43" s="5">
        <v>4</v>
      </c>
      <c r="H43" s="5"/>
      <c r="I43" s="5">
        <v>30</v>
      </c>
      <c r="K43" s="2" t="s">
        <v>249</v>
      </c>
    </row>
    <row r="44" spans="2:11">
      <c r="B44" s="6" t="s">
        <v>49</v>
      </c>
      <c r="C44" s="6" t="s">
        <v>8</v>
      </c>
      <c r="D44" s="7">
        <f>D6</f>
        <v>2024</v>
      </c>
      <c r="E44" s="7">
        <f t="shared" ref="E44:H44" si="23">E6</f>
        <v>2025</v>
      </c>
      <c r="F44" s="7">
        <f t="shared" si="23"/>
        <v>2026</v>
      </c>
      <c r="G44" s="7">
        <f t="shared" si="23"/>
        <v>2027</v>
      </c>
      <c r="H44" s="7" t="str">
        <f t="shared" si="23"/>
        <v>.......</v>
      </c>
      <c r="I44" s="7">
        <f>I6</f>
        <v>2063</v>
      </c>
    </row>
    <row r="45" spans="2:11">
      <c r="B45" s="3" t="s">
        <v>56</v>
      </c>
      <c r="C45" s="8">
        <f t="shared" ref="C45:C68" si="24">SUM(D45:I45)</f>
        <v>2671857.5259313411</v>
      </c>
      <c r="D45" s="8">
        <f>D7*Parametre!$C$119</f>
        <v>1335928.7629656706</v>
      </c>
      <c r="E45" s="8">
        <f>E7*Parametre!$C$119</f>
        <v>1335928.7629656706</v>
      </c>
      <c r="F45" s="8">
        <f>F7*Parametre!$C$119</f>
        <v>0</v>
      </c>
      <c r="G45" s="8">
        <f>G7*Parametre!$C$119</f>
        <v>0</v>
      </c>
      <c r="H45" s="8">
        <f>H7*Parametre!$C$119</f>
        <v>0</v>
      </c>
      <c r="I45" s="8">
        <f>I7*Parametre!$C$119</f>
        <v>0</v>
      </c>
    </row>
    <row r="46" spans="2:11">
      <c r="B46" s="3" t="s">
        <v>33</v>
      </c>
      <c r="C46" s="8">
        <f t="shared" si="24"/>
        <v>0</v>
      </c>
      <c r="D46" s="8">
        <f>D8*Parametre!$C$116</f>
        <v>0</v>
      </c>
      <c r="E46" s="8">
        <f>E8*Parametre!$C$116</f>
        <v>0</v>
      </c>
      <c r="F46" s="8">
        <f>F8*Parametre!$C$116</f>
        <v>0</v>
      </c>
      <c r="G46" s="8">
        <f>G8*Parametre!$C$116</f>
        <v>0</v>
      </c>
      <c r="H46" s="8">
        <f>H8*Parametre!$C$116</f>
        <v>0</v>
      </c>
      <c r="I46" s="8">
        <f>I8*Parametre!$C$116</f>
        <v>0</v>
      </c>
      <c r="K46" s="2" t="s">
        <v>247</v>
      </c>
    </row>
    <row r="47" spans="2:11">
      <c r="B47" s="3" t="s">
        <v>48</v>
      </c>
      <c r="C47" s="8">
        <f t="shared" si="24"/>
        <v>0</v>
      </c>
      <c r="D47" s="8">
        <f>D9*Parametre!$C$119</f>
        <v>0</v>
      </c>
      <c r="E47" s="8">
        <f>E9*Parametre!$C$119</f>
        <v>0</v>
      </c>
      <c r="F47" s="8">
        <f>F9*Parametre!$C$119</f>
        <v>0</v>
      </c>
      <c r="G47" s="8">
        <f>G9*Parametre!$C$119</f>
        <v>0</v>
      </c>
      <c r="H47" s="8">
        <f>H9*Parametre!$C$119</f>
        <v>0</v>
      </c>
      <c r="I47" s="8">
        <f>I9*Parametre!$C$119</f>
        <v>0</v>
      </c>
    </row>
    <row r="48" spans="2:11">
      <c r="B48" s="3" t="s">
        <v>62</v>
      </c>
      <c r="C48" s="8">
        <f t="shared" si="24"/>
        <v>28124816.062435169</v>
      </c>
      <c r="D48" s="8">
        <f t="shared" ref="D48:I48" si="25">SUM(D49:D65)</f>
        <v>0</v>
      </c>
      <c r="E48" s="8">
        <f t="shared" si="25"/>
        <v>7031204.0156087922</v>
      </c>
      <c r="F48" s="8">
        <f t="shared" si="25"/>
        <v>7031204.0156087922</v>
      </c>
      <c r="G48" s="8">
        <f t="shared" si="25"/>
        <v>14062408.031217584</v>
      </c>
      <c r="H48" s="8">
        <f t="shared" si="25"/>
        <v>0</v>
      </c>
      <c r="I48" s="8">
        <f t="shared" si="25"/>
        <v>0</v>
      </c>
    </row>
    <row r="49" spans="2:9">
      <c r="B49" s="125" t="s">
        <v>435</v>
      </c>
      <c r="C49" s="126">
        <f t="shared" si="24"/>
        <v>0</v>
      </c>
      <c r="D49" s="126">
        <f>D11*Parametre!$C$119</f>
        <v>0</v>
      </c>
      <c r="E49" s="126">
        <f>E11*Parametre!$C$119</f>
        <v>0</v>
      </c>
      <c r="F49" s="126">
        <f>F11*Parametre!$C$119</f>
        <v>0</v>
      </c>
      <c r="G49" s="126">
        <f>G11*Parametre!$C$119</f>
        <v>0</v>
      </c>
      <c r="H49" s="126">
        <f>H11*Parametre!$C$119</f>
        <v>0</v>
      </c>
      <c r="I49" s="126">
        <f>I11*Parametre!$C$119</f>
        <v>0</v>
      </c>
    </row>
    <row r="50" spans="2:9">
      <c r="B50" s="125" t="s">
        <v>486</v>
      </c>
      <c r="C50" s="126">
        <f t="shared" si="24"/>
        <v>0</v>
      </c>
      <c r="D50" s="126">
        <f>D12*Parametre!$C$119</f>
        <v>0</v>
      </c>
      <c r="E50" s="126">
        <f>E12*Parametre!$C$119</f>
        <v>0</v>
      </c>
      <c r="F50" s="126">
        <f>F12*Parametre!$C$119</f>
        <v>0</v>
      </c>
      <c r="G50" s="126">
        <f>G12*Parametre!$C$119</f>
        <v>0</v>
      </c>
      <c r="H50" s="126">
        <f>H12*Parametre!$C$119</f>
        <v>0</v>
      </c>
      <c r="I50" s="126">
        <f>I12*Parametre!$C$119</f>
        <v>0</v>
      </c>
    </row>
    <row r="51" spans="2:9">
      <c r="B51" s="125" t="s">
        <v>29</v>
      </c>
      <c r="C51" s="126">
        <f t="shared" si="24"/>
        <v>0</v>
      </c>
      <c r="D51" s="126">
        <f>D13*Parametre!$C$119</f>
        <v>0</v>
      </c>
      <c r="E51" s="126">
        <f>E13*Parametre!$C$119</f>
        <v>0</v>
      </c>
      <c r="F51" s="126">
        <f>F13*Parametre!$C$119</f>
        <v>0</v>
      </c>
      <c r="G51" s="126">
        <f>G13*Parametre!$C$119</f>
        <v>0</v>
      </c>
      <c r="H51" s="126">
        <f>H13*Parametre!$C$119</f>
        <v>0</v>
      </c>
      <c r="I51" s="126">
        <f>I13*Parametre!$C$119</f>
        <v>0</v>
      </c>
    </row>
    <row r="52" spans="2:9">
      <c r="B52" s="125" t="s">
        <v>38</v>
      </c>
      <c r="C52" s="126">
        <f t="shared" si="24"/>
        <v>165850.72096020289</v>
      </c>
      <c r="D52" s="126">
        <f>D14*Parametre!$C$119</f>
        <v>0</v>
      </c>
      <c r="E52" s="126">
        <f>E14*Parametre!$C$119</f>
        <v>41462.680240050722</v>
      </c>
      <c r="F52" s="126">
        <f>F14*Parametre!$C$119</f>
        <v>41462.680240050722</v>
      </c>
      <c r="G52" s="126">
        <f>G14*Parametre!$C$119</f>
        <v>82925.360480101444</v>
      </c>
      <c r="H52" s="126">
        <f>H14*Parametre!$C$119</f>
        <v>0</v>
      </c>
      <c r="I52" s="126">
        <f>I14*Parametre!$C$119</f>
        <v>0</v>
      </c>
    </row>
    <row r="53" spans="2:9">
      <c r="B53" s="125" t="s">
        <v>437</v>
      </c>
      <c r="C53" s="126">
        <f t="shared" si="24"/>
        <v>0</v>
      </c>
      <c r="D53" s="126">
        <f>D15*Parametre!$C$119</f>
        <v>0</v>
      </c>
      <c r="E53" s="126">
        <f>E15*Parametre!$C$119</f>
        <v>0</v>
      </c>
      <c r="F53" s="126">
        <f>F15*Parametre!$C$119</f>
        <v>0</v>
      </c>
      <c r="G53" s="126">
        <f>G15*Parametre!$C$119</f>
        <v>0</v>
      </c>
      <c r="H53" s="126">
        <f>H15*Parametre!$C$119</f>
        <v>0</v>
      </c>
      <c r="I53" s="126">
        <f>I15*Parametre!$C$119</f>
        <v>0</v>
      </c>
    </row>
    <row r="54" spans="2:9">
      <c r="B54" s="125" t="s">
        <v>438</v>
      </c>
      <c r="C54" s="126">
        <f t="shared" si="24"/>
        <v>0</v>
      </c>
      <c r="D54" s="126">
        <f>D16*Parametre!$C$119</f>
        <v>0</v>
      </c>
      <c r="E54" s="126">
        <f>E16*Parametre!$C$119</f>
        <v>0</v>
      </c>
      <c r="F54" s="126">
        <f>F16*Parametre!$C$119</f>
        <v>0</v>
      </c>
      <c r="G54" s="126">
        <f>G16*Parametre!$C$119</f>
        <v>0</v>
      </c>
      <c r="H54" s="126">
        <f>H16*Parametre!$C$119</f>
        <v>0</v>
      </c>
      <c r="I54" s="126">
        <f>I16*Parametre!$C$119</f>
        <v>0</v>
      </c>
    </row>
    <row r="55" spans="2:9">
      <c r="B55" s="125" t="s">
        <v>439</v>
      </c>
      <c r="C55" s="126">
        <f t="shared" si="24"/>
        <v>0</v>
      </c>
      <c r="D55" s="126">
        <f>D17*Parametre!$C$119</f>
        <v>0</v>
      </c>
      <c r="E55" s="126">
        <f>E17*Parametre!$C$119</f>
        <v>0</v>
      </c>
      <c r="F55" s="126">
        <f>F17*Parametre!$C$119</f>
        <v>0</v>
      </c>
      <c r="G55" s="126">
        <f>G17*Parametre!$C$119</f>
        <v>0</v>
      </c>
      <c r="H55" s="126">
        <f>H17*Parametre!$C$119</f>
        <v>0</v>
      </c>
      <c r="I55" s="126">
        <f>I17*Parametre!$C$119</f>
        <v>0</v>
      </c>
    </row>
    <row r="56" spans="2:9">
      <c r="B56" s="125" t="s">
        <v>440</v>
      </c>
      <c r="C56" s="126">
        <f t="shared" si="24"/>
        <v>657266.19371519273</v>
      </c>
      <c r="D56" s="126">
        <f>D18*Parametre!$C$119</f>
        <v>0</v>
      </c>
      <c r="E56" s="126">
        <f>E18*Parametre!$C$119</f>
        <v>164316.54842879818</v>
      </c>
      <c r="F56" s="126">
        <f>F18*Parametre!$C$119</f>
        <v>164316.54842879818</v>
      </c>
      <c r="G56" s="126">
        <f>G18*Parametre!$C$119</f>
        <v>328633.09685759636</v>
      </c>
      <c r="H56" s="126">
        <f>H18*Parametre!$C$119</f>
        <v>0</v>
      </c>
      <c r="I56" s="126">
        <f>I18*Parametre!$C$119</f>
        <v>0</v>
      </c>
    </row>
    <row r="57" spans="2:9">
      <c r="B57" s="125" t="s">
        <v>441</v>
      </c>
      <c r="C57" s="126">
        <f t="shared" si="24"/>
        <v>0</v>
      </c>
      <c r="D57" s="126">
        <f>D19*Parametre!$C$119</f>
        <v>0</v>
      </c>
      <c r="E57" s="126">
        <f>E19*Parametre!$C$119</f>
        <v>0</v>
      </c>
      <c r="F57" s="126">
        <f>F19*Parametre!$C$119</f>
        <v>0</v>
      </c>
      <c r="G57" s="126">
        <f>G19*Parametre!$C$119</f>
        <v>0</v>
      </c>
      <c r="H57" s="126">
        <f>H19*Parametre!$C$119</f>
        <v>0</v>
      </c>
      <c r="I57" s="126">
        <f>I19*Parametre!$C$119</f>
        <v>0</v>
      </c>
    </row>
    <row r="58" spans="2:9">
      <c r="B58" s="125" t="s">
        <v>442</v>
      </c>
      <c r="C58" s="126">
        <f t="shared" si="24"/>
        <v>0</v>
      </c>
      <c r="D58" s="126">
        <f>D20*Parametre!$C$119</f>
        <v>0</v>
      </c>
      <c r="E58" s="126">
        <f>E20*Parametre!$C$119</f>
        <v>0</v>
      </c>
      <c r="F58" s="126">
        <f>F20*Parametre!$C$119</f>
        <v>0</v>
      </c>
      <c r="G58" s="126">
        <f>G20*Parametre!$C$119</f>
        <v>0</v>
      </c>
      <c r="H58" s="126">
        <f>H20*Parametre!$C$119</f>
        <v>0</v>
      </c>
      <c r="I58" s="126">
        <f>I20*Parametre!$C$119</f>
        <v>0</v>
      </c>
    </row>
    <row r="59" spans="2:9">
      <c r="B59" s="125" t="s">
        <v>443</v>
      </c>
      <c r="C59" s="126">
        <f t="shared" si="24"/>
        <v>10284933.286528302</v>
      </c>
      <c r="D59" s="126">
        <f>D21*Parametre!$C$119</f>
        <v>0</v>
      </c>
      <c r="E59" s="126">
        <f>E21*Parametre!$C$119</f>
        <v>2571233.3216320756</v>
      </c>
      <c r="F59" s="126">
        <f>F21*Parametre!$C$119</f>
        <v>2571233.3216320756</v>
      </c>
      <c r="G59" s="126">
        <f>G21*Parametre!$C$119</f>
        <v>5142466.6432641512</v>
      </c>
      <c r="H59" s="126">
        <f>H21*Parametre!$C$119</f>
        <v>0</v>
      </c>
      <c r="I59" s="126">
        <f>I21*Parametre!$C$119</f>
        <v>0</v>
      </c>
    </row>
    <row r="60" spans="2:9">
      <c r="B60" s="125" t="s">
        <v>444</v>
      </c>
      <c r="C60" s="126">
        <f t="shared" si="24"/>
        <v>14821603.065132612</v>
      </c>
      <c r="D60" s="126">
        <f>D22*Parametre!$C$119</f>
        <v>0</v>
      </c>
      <c r="E60" s="126">
        <f>E22*Parametre!$C$119</f>
        <v>3705400.7662831531</v>
      </c>
      <c r="F60" s="126">
        <f>F22*Parametre!$C$119</f>
        <v>3705400.7662831531</v>
      </c>
      <c r="G60" s="126">
        <f>G22*Parametre!$C$119</f>
        <v>7410801.5325663062</v>
      </c>
      <c r="H60" s="126">
        <f>H22*Parametre!$C$119</f>
        <v>0</v>
      </c>
      <c r="I60" s="126">
        <f>I22*Parametre!$C$119</f>
        <v>0</v>
      </c>
    </row>
    <row r="61" spans="2:9">
      <c r="B61" s="125" t="s">
        <v>445</v>
      </c>
      <c r="C61" s="126">
        <f t="shared" si="24"/>
        <v>2195162.7960988595</v>
      </c>
      <c r="D61" s="126">
        <f>D23*Parametre!$C$119</f>
        <v>0</v>
      </c>
      <c r="E61" s="126">
        <f>E23*Parametre!$C$119</f>
        <v>548790.69902471488</v>
      </c>
      <c r="F61" s="126">
        <f>F23*Parametre!$C$119</f>
        <v>548790.69902471488</v>
      </c>
      <c r="G61" s="126">
        <f>G23*Parametre!$C$119</f>
        <v>1097581.3980494298</v>
      </c>
      <c r="H61" s="126">
        <f>H23*Parametre!$C$119</f>
        <v>0</v>
      </c>
      <c r="I61" s="126">
        <f>I23*Parametre!$C$119</f>
        <v>0</v>
      </c>
    </row>
    <row r="62" spans="2:9">
      <c r="B62" s="125" t="s">
        <v>446</v>
      </c>
      <c r="C62" s="126">
        <f t="shared" si="24"/>
        <v>0</v>
      </c>
      <c r="D62" s="126">
        <f>D24*Parametre!$C$119</f>
        <v>0</v>
      </c>
      <c r="E62" s="126">
        <f>E24*Parametre!$C$119</f>
        <v>0</v>
      </c>
      <c r="F62" s="126">
        <f>F24*Parametre!$C$119</f>
        <v>0</v>
      </c>
      <c r="G62" s="126">
        <f>G24*Parametre!$C$119</f>
        <v>0</v>
      </c>
      <c r="H62" s="126">
        <f>H24*Parametre!$C$119</f>
        <v>0</v>
      </c>
      <c r="I62" s="126">
        <f>I24*Parametre!$C$119</f>
        <v>0</v>
      </c>
    </row>
    <row r="63" spans="2:9">
      <c r="B63" s="125" t="s">
        <v>447</v>
      </c>
      <c r="C63" s="126">
        <f t="shared" si="24"/>
        <v>0</v>
      </c>
      <c r="D63" s="126">
        <f>D25*Parametre!$C$119</f>
        <v>0</v>
      </c>
      <c r="E63" s="126">
        <f>E25*Parametre!$C$119</f>
        <v>0</v>
      </c>
      <c r="F63" s="126">
        <f>F25*Parametre!$C$119</f>
        <v>0</v>
      </c>
      <c r="G63" s="126">
        <f>G25*Parametre!$C$119</f>
        <v>0</v>
      </c>
      <c r="H63" s="126">
        <f>H25*Parametre!$C$119</f>
        <v>0</v>
      </c>
      <c r="I63" s="126">
        <f>I25*Parametre!$C$119</f>
        <v>0</v>
      </c>
    </row>
    <row r="64" spans="2:9">
      <c r="B64" s="125" t="s">
        <v>45</v>
      </c>
      <c r="C64" s="126">
        <f t="shared" si="24"/>
        <v>0</v>
      </c>
      <c r="D64" s="126">
        <f>D26*Parametre!$C$119</f>
        <v>0</v>
      </c>
      <c r="E64" s="126">
        <f>E26*Parametre!$C$119</f>
        <v>0</v>
      </c>
      <c r="F64" s="126">
        <f>F26*Parametre!$C$119</f>
        <v>0</v>
      </c>
      <c r="G64" s="126">
        <f>G26*Parametre!$C$119</f>
        <v>0</v>
      </c>
      <c r="H64" s="126">
        <f>H26*Parametre!$C$119</f>
        <v>0</v>
      </c>
      <c r="I64" s="126">
        <f>I26*Parametre!$C$119</f>
        <v>0</v>
      </c>
    </row>
    <row r="65" spans="2:9">
      <c r="B65" s="125" t="s">
        <v>63</v>
      </c>
      <c r="C65" s="126">
        <f t="shared" si="24"/>
        <v>0</v>
      </c>
      <c r="D65" s="126">
        <f>D27*Parametre!$C$119</f>
        <v>0</v>
      </c>
      <c r="E65" s="126">
        <f>E27*Parametre!$C$119</f>
        <v>0</v>
      </c>
      <c r="F65" s="126">
        <f>F27*Parametre!$C$119</f>
        <v>0</v>
      </c>
      <c r="G65" s="126">
        <f>G27*Parametre!$C$119</f>
        <v>0</v>
      </c>
      <c r="H65" s="126">
        <f>H27*Parametre!$C$119</f>
        <v>0</v>
      </c>
      <c r="I65" s="126">
        <f>I27*Parametre!$C$119</f>
        <v>0</v>
      </c>
    </row>
    <row r="66" spans="2:9">
      <c r="B66" s="3" t="s">
        <v>47</v>
      </c>
      <c r="C66" s="8">
        <f t="shared" si="24"/>
        <v>0</v>
      </c>
      <c r="D66" s="8">
        <f>D28*Parametre!$C$119</f>
        <v>0</v>
      </c>
      <c r="E66" s="8">
        <f>E28*Parametre!$C$119</f>
        <v>0</v>
      </c>
      <c r="F66" s="8">
        <f>F28*Parametre!$C$119</f>
        <v>0</v>
      </c>
      <c r="G66" s="8">
        <f>G28*Parametre!$C$119</f>
        <v>0</v>
      </c>
      <c r="H66" s="8">
        <f>H28*Parametre!$C$119</f>
        <v>0</v>
      </c>
      <c r="I66" s="8">
        <f>I28*Parametre!$C$119</f>
        <v>0</v>
      </c>
    </row>
    <row r="67" spans="2:9">
      <c r="B67" s="3" t="s">
        <v>64</v>
      </c>
      <c r="C67" s="8">
        <f t="shared" si="24"/>
        <v>0</v>
      </c>
      <c r="D67" s="8">
        <f>D29*Parametre!$C$119</f>
        <v>0</v>
      </c>
      <c r="E67" s="8">
        <f>E29*Parametre!$C$119</f>
        <v>0</v>
      </c>
      <c r="F67" s="8">
        <f>F29*Parametre!$C$119</f>
        <v>0</v>
      </c>
      <c r="G67" s="8">
        <f>G29*Parametre!$C$119</f>
        <v>0</v>
      </c>
      <c r="H67" s="8">
        <f>H29*Parametre!$C$119</f>
        <v>0</v>
      </c>
      <c r="I67" s="8">
        <f>I29*Parametre!$C$119</f>
        <v>0</v>
      </c>
    </row>
    <row r="68" spans="2:9">
      <c r="B68" s="4" t="s">
        <v>58</v>
      </c>
      <c r="C68" s="13">
        <f t="shared" si="24"/>
        <v>30796673.588366508</v>
      </c>
      <c r="D68" s="13">
        <f t="shared" ref="D68:I68" si="26">SUM(D45:D48,D66:D67)</f>
        <v>1335928.7629656706</v>
      </c>
      <c r="E68" s="13">
        <f t="shared" si="26"/>
        <v>8367132.778574463</v>
      </c>
      <c r="F68" s="13">
        <f t="shared" si="26"/>
        <v>7031204.0156087922</v>
      </c>
      <c r="G68" s="13">
        <f t="shared" si="26"/>
        <v>14062408.031217584</v>
      </c>
      <c r="H68" s="13">
        <f t="shared" si="26"/>
        <v>0</v>
      </c>
      <c r="I68" s="13">
        <f t="shared" si="26"/>
        <v>0</v>
      </c>
    </row>
    <row r="69" spans="2:9">
      <c r="B69" s="15"/>
      <c r="C69" s="44"/>
      <c r="D69" s="44"/>
      <c r="E69" s="44"/>
      <c r="F69" s="44"/>
      <c r="G69" s="44"/>
      <c r="H69" s="44"/>
      <c r="I69" s="44"/>
    </row>
    <row r="70" spans="2:9">
      <c r="B70" s="15" t="s">
        <v>254</v>
      </c>
      <c r="C70" s="44"/>
      <c r="D70" s="44"/>
      <c r="E70" s="44"/>
      <c r="F70" s="44"/>
      <c r="G70" s="44"/>
      <c r="H70" s="44"/>
      <c r="I70" s="44"/>
    </row>
    <row r="71" spans="2:9">
      <c r="B71" s="121" t="s">
        <v>56</v>
      </c>
    </row>
    <row r="72" spans="2:9">
      <c r="B72" s="122" t="s">
        <v>231</v>
      </c>
    </row>
    <row r="73" spans="2:9">
      <c r="B73" s="121" t="s">
        <v>227</v>
      </c>
    </row>
    <row r="74" spans="2:9">
      <c r="B74" s="122" t="s">
        <v>228</v>
      </c>
    </row>
    <row r="75" spans="2:9">
      <c r="B75" s="123" t="s">
        <v>48</v>
      </c>
    </row>
    <row r="76" spans="2:9">
      <c r="B76" s="122" t="s">
        <v>229</v>
      </c>
    </row>
    <row r="77" spans="2:9">
      <c r="B77" s="120" t="s">
        <v>448</v>
      </c>
    </row>
    <row r="78" spans="2:9">
      <c r="B78" s="19" t="s">
        <v>455</v>
      </c>
    </row>
    <row r="79" spans="2:9">
      <c r="B79" s="120" t="s">
        <v>449</v>
      </c>
    </row>
    <row r="80" spans="2:9">
      <c r="B80" s="19" t="s">
        <v>450</v>
      </c>
    </row>
    <row r="81" spans="2:2">
      <c r="B81" s="120" t="s">
        <v>230</v>
      </c>
    </row>
    <row r="82" spans="2:2">
      <c r="B82" s="19" t="s">
        <v>451</v>
      </c>
    </row>
    <row r="83" spans="2:2">
      <c r="B83" s="120" t="s">
        <v>235</v>
      </c>
    </row>
    <row r="84" spans="2:2">
      <c r="B84" s="19" t="s">
        <v>452</v>
      </c>
    </row>
    <row r="85" spans="2:2">
      <c r="B85" s="120" t="s">
        <v>453</v>
      </c>
    </row>
    <row r="86" spans="2:2">
      <c r="B86" s="19" t="s">
        <v>454</v>
      </c>
    </row>
    <row r="87" spans="2:2">
      <c r="B87" s="120" t="s">
        <v>456</v>
      </c>
    </row>
    <row r="88" spans="2:2">
      <c r="B88" s="1" t="s">
        <v>460</v>
      </c>
    </row>
    <row r="89" spans="2:2">
      <c r="B89" s="120" t="s">
        <v>458</v>
      </c>
    </row>
    <row r="90" spans="2:2">
      <c r="B90" s="1" t="s">
        <v>461</v>
      </c>
    </row>
    <row r="91" spans="2:2">
      <c r="B91" s="120" t="s">
        <v>459</v>
      </c>
    </row>
    <row r="92" spans="2:2">
      <c r="B92" s="1" t="s">
        <v>462</v>
      </c>
    </row>
    <row r="93" spans="2:2">
      <c r="B93" s="124" t="s">
        <v>232</v>
      </c>
    </row>
    <row r="94" spans="2:2">
      <c r="B94" s="1" t="s">
        <v>233</v>
      </c>
    </row>
    <row r="95" spans="2:2">
      <c r="B95" s="124" t="s">
        <v>465</v>
      </c>
    </row>
    <row r="96" spans="2:2">
      <c r="B96" s="1" t="s">
        <v>470</v>
      </c>
    </row>
    <row r="97" spans="2:2">
      <c r="B97" s="124" t="s">
        <v>466</v>
      </c>
    </row>
    <row r="98" spans="2:2">
      <c r="B98" s="1" t="s">
        <v>471</v>
      </c>
    </row>
    <row r="99" spans="2:2">
      <c r="B99" s="124" t="s">
        <v>467</v>
      </c>
    </row>
    <row r="100" spans="2:2">
      <c r="B100" s="1" t="s">
        <v>472</v>
      </c>
    </row>
    <row r="101" spans="2:2">
      <c r="B101" s="124" t="s">
        <v>469</v>
      </c>
    </row>
    <row r="102" spans="2:2">
      <c r="B102" s="1" t="s">
        <v>473</v>
      </c>
    </row>
    <row r="103" spans="2:2">
      <c r="B103" s="124" t="s">
        <v>468</v>
      </c>
    </row>
    <row r="104" spans="2:2">
      <c r="B104" s="1" t="s">
        <v>474</v>
      </c>
    </row>
    <row r="105" spans="2:2">
      <c r="B105" s="124" t="s">
        <v>234</v>
      </c>
    </row>
    <row r="106" spans="2:2">
      <c r="B106" s="1" t="s">
        <v>463</v>
      </c>
    </row>
    <row r="107" spans="2:2">
      <c r="B107" s="124" t="s">
        <v>236</v>
      </c>
    </row>
    <row r="108" spans="2:2">
      <c r="B108" s="1" t="s">
        <v>464</v>
      </c>
    </row>
    <row r="109" spans="2:2">
      <c r="B109" s="124" t="s">
        <v>237</v>
      </c>
    </row>
    <row r="110" spans="2:2">
      <c r="B110" s="1" t="s">
        <v>457</v>
      </c>
    </row>
    <row r="111" spans="2:2">
      <c r="B111" s="124" t="s">
        <v>47</v>
      </c>
    </row>
    <row r="112" spans="2:2">
      <c r="B112" s="1" t="s">
        <v>238</v>
      </c>
    </row>
    <row r="113" spans="2:2">
      <c r="B113" s="123" t="s">
        <v>240</v>
      </c>
    </row>
    <row r="114" spans="2:2">
      <c r="B114" s="1" t="s">
        <v>239</v>
      </c>
    </row>
    <row r="115" spans="2:2">
      <c r="B115" s="121" t="s">
        <v>241</v>
      </c>
    </row>
    <row r="116" spans="2:2">
      <c r="B116" s="122" t="s">
        <v>243</v>
      </c>
    </row>
    <row r="117" spans="2:2">
      <c r="B117" s="121" t="s">
        <v>242</v>
      </c>
    </row>
    <row r="118" spans="2:2">
      <c r="B118" s="122" t="s">
        <v>244</v>
      </c>
    </row>
  </sheetData>
  <phoneticPr fontId="7" type="noConversion"/>
  <pageMargins left="0.19685039370078741" right="0.19685039370078741" top="0.98425196850393704" bottom="0.78740157480314965" header="0.51181102362204722" footer="0.51181102362204722"/>
  <pageSetup scale="75" orientation="landscape" r:id="rId1"/>
  <headerFooter alignWithMargins="0">
    <oddHeader>&amp;LPríloha 7: Štandardné tabuľky - Cesty 
&amp;"Arial,Tučné"&amp;12 01 Investičné náklady</oddHeader>
    <oddFooter>&amp;CStrana &amp;P z &amp;N</oddFooter>
  </headerFooter>
  <ignoredErrors>
    <ignoredError sqref="D48:F48 D46:F46"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M32"/>
  <sheetViews>
    <sheetView zoomScale="80" zoomScaleNormal="80" workbookViewId="0">
      <selection activeCell="G41" sqref="G41"/>
    </sheetView>
  </sheetViews>
  <sheetFormatPr defaultColWidth="9.140625" defaultRowHeight="11.25"/>
  <cols>
    <col min="1" max="1" width="2.7109375" style="2" customWidth="1"/>
    <col min="2" max="2" width="56.5703125" style="2" customWidth="1"/>
    <col min="3" max="3" width="24.140625" style="2" customWidth="1"/>
    <col min="4" max="4" width="26.28515625" style="2" customWidth="1"/>
    <col min="5" max="9" width="13.7109375" style="2" customWidth="1"/>
    <col min="10" max="11" width="5" style="2" bestFit="1" customWidth="1"/>
    <col min="12" max="12" width="12.85546875" style="2" customWidth="1"/>
    <col min="13" max="17" width="15.42578125" style="2" customWidth="1"/>
    <col min="18" max="26" width="11.85546875" style="2" customWidth="1"/>
    <col min="27" max="27" width="14.85546875" style="2" customWidth="1"/>
    <col min="28" max="33" width="11.85546875" style="2" customWidth="1"/>
    <col min="34" max="36" width="5" style="2" bestFit="1" customWidth="1"/>
    <col min="37" max="16384" width="9.140625" style="2"/>
  </cols>
  <sheetData>
    <row r="2" spans="2:12" ht="12">
      <c r="B2" s="491" t="s">
        <v>807</v>
      </c>
    </row>
    <row r="3" spans="2:12" ht="12" thickBot="1">
      <c r="H3" s="993"/>
      <c r="I3" s="993"/>
    </row>
    <row r="4" spans="2:12" ht="12" thickBot="1">
      <c r="B4" s="15" t="s">
        <v>97</v>
      </c>
      <c r="H4" s="562" t="s">
        <v>98</v>
      </c>
      <c r="I4" s="563" t="s">
        <v>99</v>
      </c>
    </row>
    <row r="5" spans="2:12" s="319" customFormat="1" ht="33.75">
      <c r="B5" s="492" t="s">
        <v>39</v>
      </c>
      <c r="C5" s="493" t="s">
        <v>30</v>
      </c>
      <c r="D5" s="493" t="s">
        <v>78</v>
      </c>
      <c r="E5" s="493" t="s">
        <v>35</v>
      </c>
      <c r="F5" s="493" t="s">
        <v>34</v>
      </c>
      <c r="G5" s="494" t="s">
        <v>37</v>
      </c>
      <c r="H5" s="564" t="s">
        <v>15</v>
      </c>
      <c r="I5" s="565" t="s">
        <v>15</v>
      </c>
    </row>
    <row r="6" spans="2:12">
      <c r="B6" s="16" t="s">
        <v>33</v>
      </c>
      <c r="C6" s="17" t="s">
        <v>36</v>
      </c>
      <c r="D6" s="134">
        <f>Parametre!$C$12-(Parametre!$C$14-Parametre!$C$13+1)</f>
        <v>36</v>
      </c>
      <c r="E6" s="17">
        <v>0</v>
      </c>
      <c r="F6" s="17" t="s">
        <v>36</v>
      </c>
      <c r="G6" s="57" t="s">
        <v>36</v>
      </c>
      <c r="H6" s="200">
        <f>'01 Investičné výdavky'!C8</f>
        <v>0</v>
      </c>
      <c r="I6" s="202">
        <f>H6*Parametre!C116</f>
        <v>0</v>
      </c>
      <c r="L6" s="2" t="s">
        <v>247</v>
      </c>
    </row>
    <row r="7" spans="2:12">
      <c r="B7" s="16" t="s">
        <v>435</v>
      </c>
      <c r="C7" s="18">
        <v>100</v>
      </c>
      <c r="D7" s="134">
        <f>Parametre!$C$12-(Parametre!$C$14-Parametre!$C$13+1)</f>
        <v>36</v>
      </c>
      <c r="E7" s="17">
        <v>0</v>
      </c>
      <c r="F7" s="18">
        <f>C7+(E7*C7)</f>
        <v>100</v>
      </c>
      <c r="G7" s="58">
        <f>(F7-D7)/C7</f>
        <v>0.64</v>
      </c>
      <c r="H7" s="200">
        <f>G7*'01 Investičné výdavky'!C11</f>
        <v>0</v>
      </c>
      <c r="I7" s="202">
        <f>H7*Parametre!$C$119</f>
        <v>0</v>
      </c>
    </row>
    <row r="8" spans="2:12">
      <c r="B8" s="16" t="s">
        <v>436</v>
      </c>
      <c r="C8" s="18">
        <v>80</v>
      </c>
      <c r="D8" s="134">
        <f>Parametre!$C$12-(Parametre!$C$14-Parametre!$C$13+1)</f>
        <v>36</v>
      </c>
      <c r="E8" s="17">
        <v>0</v>
      </c>
      <c r="F8" s="18">
        <f t="shared" ref="F8:F21" si="0">C8+(E8*C8)</f>
        <v>80</v>
      </c>
      <c r="G8" s="58">
        <f t="shared" ref="G8:G21" si="1">(F8-D8)/C8</f>
        <v>0.55000000000000004</v>
      </c>
      <c r="H8" s="200">
        <f>G8*'01 Investičné výdavky'!C12</f>
        <v>0</v>
      </c>
      <c r="I8" s="202">
        <f>H8*Parametre!$C$119</f>
        <v>0</v>
      </c>
    </row>
    <row r="9" spans="2:12">
      <c r="B9" s="16" t="s">
        <v>29</v>
      </c>
      <c r="C9" s="18">
        <v>80</v>
      </c>
      <c r="D9" s="134">
        <f>Parametre!$C$12-(Parametre!$C$14-Parametre!$C$13+1)</f>
        <v>36</v>
      </c>
      <c r="E9" s="17">
        <v>0</v>
      </c>
      <c r="F9" s="18">
        <f t="shared" si="0"/>
        <v>80</v>
      </c>
      <c r="G9" s="58">
        <f t="shared" si="1"/>
        <v>0.55000000000000004</v>
      </c>
      <c r="H9" s="200">
        <f>G9*'01 Investičné výdavky'!C13</f>
        <v>0</v>
      </c>
      <c r="I9" s="202">
        <f>H9*Parametre!$C$119</f>
        <v>0</v>
      </c>
      <c r="L9" s="2" t="s">
        <v>248</v>
      </c>
    </row>
    <row r="10" spans="2:12">
      <c r="B10" s="16" t="s">
        <v>38</v>
      </c>
      <c r="C10" s="18">
        <v>60</v>
      </c>
      <c r="D10" s="134">
        <f>Parametre!$C$12-(Parametre!$C$14-Parametre!$C$13+1)</f>
        <v>36</v>
      </c>
      <c r="E10" s="17">
        <v>0</v>
      </c>
      <c r="F10" s="18">
        <f t="shared" si="0"/>
        <v>60</v>
      </c>
      <c r="G10" s="58">
        <f t="shared" si="1"/>
        <v>0.4</v>
      </c>
      <c r="H10" s="200">
        <f>G10*'01 Investičné výdavky'!C14</f>
        <v>73711.43153786796</v>
      </c>
      <c r="I10" s="202">
        <f>H10*Parametre!$C$119</f>
        <v>66340.28838408117</v>
      </c>
      <c r="L10" s="2" t="s">
        <v>249</v>
      </c>
    </row>
    <row r="11" spans="2:12">
      <c r="B11" s="16" t="s">
        <v>437</v>
      </c>
      <c r="C11" s="18">
        <v>40</v>
      </c>
      <c r="D11" s="134">
        <f>Parametre!$C$12-(Parametre!$C$14-Parametre!$C$13+1)</f>
        <v>36</v>
      </c>
      <c r="E11" s="17">
        <v>0</v>
      </c>
      <c r="F11" s="18">
        <f t="shared" si="0"/>
        <v>40</v>
      </c>
      <c r="G11" s="58">
        <f t="shared" si="1"/>
        <v>0.1</v>
      </c>
      <c r="H11" s="200">
        <f>G11*'01 Investičné výdavky'!C15</f>
        <v>0</v>
      </c>
      <c r="I11" s="202">
        <f>H11*Parametre!$C$119</f>
        <v>0</v>
      </c>
    </row>
    <row r="12" spans="2:12">
      <c r="B12" s="16" t="s">
        <v>438</v>
      </c>
      <c r="C12" s="18">
        <v>50</v>
      </c>
      <c r="D12" s="134">
        <f>Parametre!$C$12-(Parametre!$C$14-Parametre!$C$13+1)</f>
        <v>36</v>
      </c>
      <c r="E12" s="17">
        <v>0</v>
      </c>
      <c r="F12" s="18">
        <f t="shared" si="0"/>
        <v>50</v>
      </c>
      <c r="G12" s="58">
        <f t="shared" si="1"/>
        <v>0.28000000000000003</v>
      </c>
      <c r="H12" s="200">
        <f>G12*'01 Investičné výdavky'!C16</f>
        <v>0</v>
      </c>
      <c r="I12" s="202">
        <f>H12*Parametre!$C$119</f>
        <v>0</v>
      </c>
    </row>
    <row r="13" spans="2:12">
      <c r="B13" s="16" t="s">
        <v>439</v>
      </c>
      <c r="C13" s="18">
        <v>50</v>
      </c>
      <c r="D13" s="134">
        <f>Parametre!$C$12-(Parametre!$C$14-Parametre!$C$13+1)</f>
        <v>36</v>
      </c>
      <c r="E13" s="17">
        <v>0</v>
      </c>
      <c r="F13" s="18">
        <f t="shared" si="0"/>
        <v>50</v>
      </c>
      <c r="G13" s="58">
        <f t="shared" si="1"/>
        <v>0.28000000000000003</v>
      </c>
      <c r="H13" s="200">
        <f>G13*'01 Investičné výdavky'!C17</f>
        <v>0</v>
      </c>
      <c r="I13" s="202">
        <f>H13*Parametre!$C$119</f>
        <v>0</v>
      </c>
    </row>
    <row r="14" spans="2:12">
      <c r="B14" s="16" t="s">
        <v>440</v>
      </c>
      <c r="C14" s="18">
        <v>30</v>
      </c>
      <c r="D14" s="134">
        <f>Parametre!$C$12-(Parametre!$C$14-Parametre!$C$13+1)</f>
        <v>36</v>
      </c>
      <c r="E14" s="17">
        <v>1</v>
      </c>
      <c r="F14" s="18">
        <f t="shared" si="0"/>
        <v>60</v>
      </c>
      <c r="G14" s="58">
        <f t="shared" si="1"/>
        <v>0.8</v>
      </c>
      <c r="H14" s="200">
        <f>G14*'01 Investičné výdavky'!C18</f>
        <v>584236.61663572688</v>
      </c>
      <c r="I14" s="202">
        <f>H14*Parametre!$C$119</f>
        <v>525812.95497215423</v>
      </c>
    </row>
    <row r="15" spans="2:12">
      <c r="B15" s="16" t="s">
        <v>441</v>
      </c>
      <c r="C15" s="18">
        <v>50</v>
      </c>
      <c r="D15" s="134">
        <f>Parametre!$C$12-(Parametre!$C$14-Parametre!$C$13+1)</f>
        <v>36</v>
      </c>
      <c r="E15" s="17">
        <v>0</v>
      </c>
      <c r="F15" s="18">
        <f t="shared" si="0"/>
        <v>50</v>
      </c>
      <c r="G15" s="58">
        <f t="shared" si="1"/>
        <v>0.28000000000000003</v>
      </c>
      <c r="H15" s="200">
        <f>G15*'01 Investičné výdavky'!C19</f>
        <v>0</v>
      </c>
      <c r="I15" s="202">
        <f>H15*Parametre!$C$119</f>
        <v>0</v>
      </c>
    </row>
    <row r="16" spans="2:12">
      <c r="B16" s="16" t="s">
        <v>442</v>
      </c>
      <c r="C16" s="18">
        <v>30</v>
      </c>
      <c r="D16" s="134">
        <f>Parametre!$C$12-(Parametre!$C$14-Parametre!$C$13+1)</f>
        <v>36</v>
      </c>
      <c r="E16" s="17">
        <v>1</v>
      </c>
      <c r="F16" s="18">
        <f>C16+(E16*C16)</f>
        <v>60</v>
      </c>
      <c r="G16" s="58">
        <f t="shared" si="1"/>
        <v>0.8</v>
      </c>
      <c r="H16" s="200">
        <f>G16*'01 Investičné výdavky'!C20</f>
        <v>0</v>
      </c>
      <c r="I16" s="202">
        <f>H16*Parametre!$C$119</f>
        <v>0</v>
      </c>
    </row>
    <row r="17" spans="2:13">
      <c r="B17" s="16" t="s">
        <v>443</v>
      </c>
      <c r="C17" s="18">
        <v>20</v>
      </c>
      <c r="D17" s="134">
        <f>Parametre!$C$12-(Parametre!$C$14-Parametre!$C$13+1)</f>
        <v>36</v>
      </c>
      <c r="E17" s="17">
        <v>1</v>
      </c>
      <c r="F17" s="18">
        <f t="shared" si="0"/>
        <v>40</v>
      </c>
      <c r="G17" s="58">
        <f t="shared" si="1"/>
        <v>0.2</v>
      </c>
      <c r="H17" s="200">
        <f>G17*'01 Investičné výdavky'!C21</f>
        <v>2285540.7303396226</v>
      </c>
      <c r="I17" s="202">
        <f>H17*Parametre!$C$119</f>
        <v>2056986.6573056604</v>
      </c>
      <c r="K17" s="128" t="s">
        <v>245</v>
      </c>
      <c r="L17" s="14">
        <f>'01 Investičné výdavky'!C21*0.25</f>
        <v>2856925.9129245281</v>
      </c>
    </row>
    <row r="18" spans="2:13">
      <c r="B18" s="16" t="s">
        <v>444</v>
      </c>
      <c r="C18" s="18">
        <v>20</v>
      </c>
      <c r="D18" s="134">
        <f>Parametre!$C$12-(Parametre!$C$14-Parametre!$C$13+1)</f>
        <v>36</v>
      </c>
      <c r="E18" s="17">
        <v>1</v>
      </c>
      <c r="F18" s="18">
        <f t="shared" si="0"/>
        <v>40</v>
      </c>
      <c r="G18" s="58">
        <f t="shared" si="1"/>
        <v>0.2</v>
      </c>
      <c r="H18" s="200">
        <f>G18*'01 Investičné výdavky'!C22</f>
        <v>3293689.5700294692</v>
      </c>
      <c r="I18" s="202">
        <f>H18*Parametre!$C$119</f>
        <v>2964320.6130265226</v>
      </c>
      <c r="K18" s="128" t="s">
        <v>245</v>
      </c>
      <c r="L18" s="14">
        <f>'01 Investičné výdavky'!C22*0.25</f>
        <v>4117111.9625368365</v>
      </c>
    </row>
    <row r="19" spans="2:13">
      <c r="B19" s="16" t="s">
        <v>445</v>
      </c>
      <c r="C19" s="18">
        <v>30</v>
      </c>
      <c r="D19" s="134">
        <f>Parametre!$C$12-(Parametre!$C$14-Parametre!$C$13+1)</f>
        <v>36</v>
      </c>
      <c r="E19" s="17">
        <v>1</v>
      </c>
      <c r="F19" s="18">
        <f t="shared" si="0"/>
        <v>60</v>
      </c>
      <c r="G19" s="58">
        <f t="shared" si="1"/>
        <v>0.8</v>
      </c>
      <c r="H19" s="200">
        <f>G19*'01 Investičné výdavky'!C23</f>
        <v>1951255.8187545419</v>
      </c>
      <c r="I19" s="202">
        <f>H19*Parametre!$C$119</f>
        <v>1756130.2368790878</v>
      </c>
      <c r="L19" s="2" t="s">
        <v>246</v>
      </c>
    </row>
    <row r="20" spans="2:13">
      <c r="B20" s="16" t="s">
        <v>446</v>
      </c>
      <c r="C20" s="18">
        <v>30</v>
      </c>
      <c r="D20" s="134">
        <f>Parametre!$C$12-(Parametre!$C$14-Parametre!$C$13+1)</f>
        <v>36</v>
      </c>
      <c r="E20" s="17">
        <v>1</v>
      </c>
      <c r="F20" s="18">
        <f t="shared" si="0"/>
        <v>60</v>
      </c>
      <c r="G20" s="58">
        <f t="shared" si="1"/>
        <v>0.8</v>
      </c>
      <c r="H20" s="200">
        <f>G20*'01 Investičné výdavky'!C24</f>
        <v>0</v>
      </c>
      <c r="I20" s="202">
        <f>H20*Parametre!$C$119</f>
        <v>0</v>
      </c>
    </row>
    <row r="21" spans="2:13" ht="12" thickBot="1">
      <c r="B21" s="16" t="s">
        <v>447</v>
      </c>
      <c r="C21" s="18">
        <v>30</v>
      </c>
      <c r="D21" s="134">
        <f>Parametre!$C$12-(Parametre!$C$14-Parametre!$C$13+1)</f>
        <v>36</v>
      </c>
      <c r="E21" s="17">
        <v>1</v>
      </c>
      <c r="F21" s="18">
        <f t="shared" si="0"/>
        <v>60</v>
      </c>
      <c r="G21" s="58">
        <f t="shared" si="1"/>
        <v>0.8</v>
      </c>
      <c r="H21" s="200">
        <f>G21*'01 Investičné výdavky'!C25</f>
        <v>0</v>
      </c>
      <c r="I21" s="202">
        <f>H21*Parametre!$C$119</f>
        <v>0</v>
      </c>
    </row>
    <row r="22" spans="2:13" ht="12" thickBot="1">
      <c r="B22" s="4" t="s">
        <v>15</v>
      </c>
      <c r="C22" s="3"/>
      <c r="D22" s="3"/>
      <c r="E22" s="3"/>
      <c r="F22" s="3"/>
      <c r="G22" s="27"/>
      <c r="H22" s="201">
        <f>SUM(H6:H21)</f>
        <v>8188434.1672972282</v>
      </c>
      <c r="I22" s="199">
        <f>SUM(I6:I21)</f>
        <v>7369590.750567507</v>
      </c>
    </row>
    <row r="23" spans="2:13">
      <c r="B23" s="19" t="s">
        <v>96</v>
      </c>
    </row>
    <row r="26" spans="2:13">
      <c r="B26" s="15" t="s">
        <v>806</v>
      </c>
    </row>
    <row r="27" spans="2:13">
      <c r="B27" s="27" t="s">
        <v>40</v>
      </c>
      <c r="C27" s="203"/>
      <c r="D27" s="44"/>
    </row>
    <row r="28" spans="2:13">
      <c r="B28" s="27" t="s">
        <v>55</v>
      </c>
      <c r="C28" s="203"/>
      <c r="D28" s="14"/>
    </row>
    <row r="29" spans="2:13">
      <c r="B29" s="1" t="s">
        <v>100</v>
      </c>
    </row>
    <row r="32" spans="2:13">
      <c r="M32" s="312"/>
    </row>
  </sheetData>
  <mergeCells count="1">
    <mergeCell ref="H3:I3"/>
  </mergeCells>
  <phoneticPr fontId="7" type="noConversion"/>
  <pageMargins left="0.19685039370078741" right="0.19685039370078741" top="0.98425196850393704" bottom="0.78740157480314965" header="0.51181102362204722" footer="0.51181102362204722"/>
  <pageSetup scale="75" orientation="landscape" r:id="rId1"/>
  <headerFooter alignWithMargins="0">
    <oddHeader>&amp;LPríloha 7: Štandardné tabuľky - Cesty
&amp;"Arial,Tučné"&amp;12 02 Zostatková hodnota</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AQ65"/>
  <sheetViews>
    <sheetView zoomScale="80" zoomScaleNormal="80" workbookViewId="0">
      <selection activeCell="C31" sqref="C31"/>
    </sheetView>
  </sheetViews>
  <sheetFormatPr defaultColWidth="9.140625" defaultRowHeight="11.25"/>
  <cols>
    <col min="1" max="1" width="2" style="2" customWidth="1"/>
    <col min="2" max="2" width="45.42578125" style="2" customWidth="1"/>
    <col min="3" max="3" width="10.7109375" style="2" customWidth="1"/>
    <col min="4" max="4" width="14.140625" style="2" customWidth="1"/>
    <col min="5" max="43" width="12.7109375" style="2" customWidth="1"/>
    <col min="44" max="16384" width="9.140625" style="2"/>
  </cols>
  <sheetData>
    <row r="2" spans="2:43" ht="12">
      <c r="B2" s="491" t="s">
        <v>807</v>
      </c>
    </row>
    <row r="4" spans="2:43">
      <c r="C4" s="3"/>
      <c r="D4" s="3" t="s">
        <v>9</v>
      </c>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row>
    <row r="5" spans="2:43">
      <c r="B5" s="4" t="s">
        <v>67</v>
      </c>
      <c r="C5" s="4"/>
      <c r="D5" s="3">
        <v>1</v>
      </c>
      <c r="E5" s="3">
        <v>2</v>
      </c>
      <c r="F5" s="3">
        <v>3</v>
      </c>
      <c r="G5" s="3">
        <v>4</v>
      </c>
      <c r="H5" s="3">
        <v>5</v>
      </c>
      <c r="I5" s="3">
        <v>6</v>
      </c>
      <c r="J5" s="3">
        <v>7</v>
      </c>
      <c r="K5" s="3">
        <v>8</v>
      </c>
      <c r="L5" s="3">
        <v>9</v>
      </c>
      <c r="M5" s="3">
        <v>10</v>
      </c>
      <c r="N5" s="3">
        <v>11</v>
      </c>
      <c r="O5" s="3">
        <v>12</v>
      </c>
      <c r="P5" s="3">
        <v>13</v>
      </c>
      <c r="Q5" s="3">
        <v>14</v>
      </c>
      <c r="R5" s="3">
        <v>15</v>
      </c>
      <c r="S5" s="3">
        <v>16</v>
      </c>
      <c r="T5" s="3">
        <v>17</v>
      </c>
      <c r="U5" s="3">
        <v>18</v>
      </c>
      <c r="V5" s="3">
        <v>19</v>
      </c>
      <c r="W5" s="3">
        <v>20</v>
      </c>
      <c r="X5" s="3">
        <v>21</v>
      </c>
      <c r="Y5" s="3">
        <v>22</v>
      </c>
      <c r="Z5" s="3">
        <v>23</v>
      </c>
      <c r="AA5" s="3">
        <v>24</v>
      </c>
      <c r="AB5" s="3">
        <v>25</v>
      </c>
      <c r="AC5" s="3">
        <v>26</v>
      </c>
      <c r="AD5" s="3">
        <v>27</v>
      </c>
      <c r="AE5" s="3">
        <v>28</v>
      </c>
      <c r="AF5" s="3">
        <v>29</v>
      </c>
      <c r="AG5" s="3">
        <v>30</v>
      </c>
      <c r="AH5" s="3">
        <v>31</v>
      </c>
      <c r="AI5" s="3">
        <v>32</v>
      </c>
      <c r="AJ5" s="3">
        <v>33</v>
      </c>
      <c r="AK5" s="3">
        <v>34</v>
      </c>
      <c r="AL5" s="3">
        <v>35</v>
      </c>
      <c r="AM5" s="3">
        <v>36</v>
      </c>
      <c r="AN5" s="3">
        <v>37</v>
      </c>
      <c r="AO5" s="3">
        <v>38</v>
      </c>
      <c r="AP5" s="3">
        <v>39</v>
      </c>
      <c r="AQ5" s="3">
        <v>40</v>
      </c>
    </row>
    <row r="6" spans="2:43">
      <c r="B6" s="6" t="s">
        <v>41</v>
      </c>
      <c r="C6" s="6" t="s">
        <v>8</v>
      </c>
      <c r="D6" s="20">
        <f>Parametre!C13</f>
        <v>2024</v>
      </c>
      <c r="E6" s="20">
        <f>$D$6+D5</f>
        <v>2025</v>
      </c>
      <c r="F6" s="20">
        <f>$D$6+E5</f>
        <v>2026</v>
      </c>
      <c r="G6" s="20">
        <f>$D$6+F5</f>
        <v>2027</v>
      </c>
      <c r="H6" s="20">
        <f t="shared" ref="H6:AF6" si="0">$D$6+G5</f>
        <v>2028</v>
      </c>
      <c r="I6" s="20">
        <f t="shared" si="0"/>
        <v>2029</v>
      </c>
      <c r="J6" s="20">
        <f t="shared" si="0"/>
        <v>2030</v>
      </c>
      <c r="K6" s="20">
        <f t="shared" si="0"/>
        <v>2031</v>
      </c>
      <c r="L6" s="20">
        <f t="shared" si="0"/>
        <v>2032</v>
      </c>
      <c r="M6" s="20">
        <f t="shared" si="0"/>
        <v>2033</v>
      </c>
      <c r="N6" s="20">
        <f t="shared" si="0"/>
        <v>2034</v>
      </c>
      <c r="O6" s="20">
        <f t="shared" si="0"/>
        <v>2035</v>
      </c>
      <c r="P6" s="20">
        <f t="shared" si="0"/>
        <v>2036</v>
      </c>
      <c r="Q6" s="20">
        <f t="shared" si="0"/>
        <v>2037</v>
      </c>
      <c r="R6" s="20">
        <f t="shared" si="0"/>
        <v>2038</v>
      </c>
      <c r="S6" s="20">
        <f t="shared" si="0"/>
        <v>2039</v>
      </c>
      <c r="T6" s="20">
        <f t="shared" si="0"/>
        <v>2040</v>
      </c>
      <c r="U6" s="20">
        <f t="shared" si="0"/>
        <v>2041</v>
      </c>
      <c r="V6" s="20">
        <f t="shared" si="0"/>
        <v>2042</v>
      </c>
      <c r="W6" s="20">
        <f t="shared" si="0"/>
        <v>2043</v>
      </c>
      <c r="X6" s="20">
        <f t="shared" si="0"/>
        <v>2044</v>
      </c>
      <c r="Y6" s="20">
        <f t="shared" si="0"/>
        <v>2045</v>
      </c>
      <c r="Z6" s="20">
        <f t="shared" si="0"/>
        <v>2046</v>
      </c>
      <c r="AA6" s="20">
        <f t="shared" si="0"/>
        <v>2047</v>
      </c>
      <c r="AB6" s="20">
        <f t="shared" si="0"/>
        <v>2048</v>
      </c>
      <c r="AC6" s="20">
        <f t="shared" si="0"/>
        <v>2049</v>
      </c>
      <c r="AD6" s="20">
        <f t="shared" si="0"/>
        <v>2050</v>
      </c>
      <c r="AE6" s="20">
        <f t="shared" si="0"/>
        <v>2051</v>
      </c>
      <c r="AF6" s="20">
        <f t="shared" si="0"/>
        <v>2052</v>
      </c>
      <c r="AG6" s="20">
        <f t="shared" ref="AG6" si="1">$D$6+AF5</f>
        <v>2053</v>
      </c>
      <c r="AH6" s="20">
        <f t="shared" ref="AH6" si="2">$D$6+AG5</f>
        <v>2054</v>
      </c>
      <c r="AI6" s="20">
        <f t="shared" ref="AI6" si="3">$D$6+AH5</f>
        <v>2055</v>
      </c>
      <c r="AJ6" s="20">
        <f t="shared" ref="AJ6" si="4">$D$6+AI5</f>
        <v>2056</v>
      </c>
      <c r="AK6" s="20">
        <f t="shared" ref="AK6" si="5">$D$6+AJ5</f>
        <v>2057</v>
      </c>
      <c r="AL6" s="20">
        <f t="shared" ref="AL6" si="6">$D$6+AK5</f>
        <v>2058</v>
      </c>
      <c r="AM6" s="20">
        <f t="shared" ref="AM6" si="7">$D$6+AL5</f>
        <v>2059</v>
      </c>
      <c r="AN6" s="20">
        <f t="shared" ref="AN6" si="8">$D$6+AM5</f>
        <v>2060</v>
      </c>
      <c r="AO6" s="20">
        <f t="shared" ref="AO6" si="9">$D$6+AN5</f>
        <v>2061</v>
      </c>
      <c r="AP6" s="20">
        <f t="shared" ref="AP6" si="10">$D$6+AO5</f>
        <v>2062</v>
      </c>
      <c r="AQ6" s="20">
        <f t="shared" ref="AQ6" si="11">$D$6+AP5</f>
        <v>2063</v>
      </c>
    </row>
    <row r="7" spans="2:43">
      <c r="B7" s="3" t="s">
        <v>73</v>
      </c>
      <c r="C7" s="8">
        <f t="shared" ref="C7:C13" si="12">SUM(D7:AQ7)</f>
        <v>232493697.7471399</v>
      </c>
      <c r="D7" s="9">
        <f>'Vstupy FA'!F9</f>
        <v>5812342.4436784964</v>
      </c>
      <c r="E7" s="9">
        <f>'Vstupy FA'!G9</f>
        <v>5812342.4436784964</v>
      </c>
      <c r="F7" s="9">
        <f>'Vstupy FA'!H9</f>
        <v>5812342.4436784964</v>
      </c>
      <c r="G7" s="9">
        <f>'Vstupy FA'!I9</f>
        <v>5812342.4436784964</v>
      </c>
      <c r="H7" s="9">
        <f>'Vstupy FA'!J9</f>
        <v>5812342.4436784964</v>
      </c>
      <c r="I7" s="9">
        <f>'Vstupy FA'!K9</f>
        <v>5812342.4436784964</v>
      </c>
      <c r="J7" s="9">
        <f>'Vstupy FA'!L9</f>
        <v>5812342.4436784964</v>
      </c>
      <c r="K7" s="9">
        <f>'Vstupy FA'!M9</f>
        <v>5812342.4436784964</v>
      </c>
      <c r="L7" s="9">
        <f>'Vstupy FA'!N9</f>
        <v>5812342.4436784964</v>
      </c>
      <c r="M7" s="9">
        <f>'Vstupy FA'!O9</f>
        <v>5812342.4436784964</v>
      </c>
      <c r="N7" s="9">
        <f>'Vstupy FA'!P9</f>
        <v>5812342.4436784964</v>
      </c>
      <c r="O7" s="9">
        <f>'Vstupy FA'!Q9</f>
        <v>5812342.4436784964</v>
      </c>
      <c r="P7" s="9">
        <f>'Vstupy FA'!R9</f>
        <v>5812342.4436784964</v>
      </c>
      <c r="Q7" s="9">
        <f>'Vstupy FA'!S9</f>
        <v>5812342.4436784964</v>
      </c>
      <c r="R7" s="9">
        <f>'Vstupy FA'!T9</f>
        <v>5812342.4436784964</v>
      </c>
      <c r="S7" s="9">
        <f>'Vstupy FA'!U9</f>
        <v>5812342.4436784964</v>
      </c>
      <c r="T7" s="9">
        <f>'Vstupy FA'!V9</f>
        <v>5812342.4436784964</v>
      </c>
      <c r="U7" s="9">
        <f>'Vstupy FA'!W9</f>
        <v>5812342.4436784964</v>
      </c>
      <c r="V7" s="9">
        <f>'Vstupy FA'!X9</f>
        <v>5812342.4436784964</v>
      </c>
      <c r="W7" s="9">
        <f>'Vstupy FA'!Y9</f>
        <v>5812342.4436784964</v>
      </c>
      <c r="X7" s="9">
        <f>'Vstupy FA'!Z9</f>
        <v>5812342.4436784964</v>
      </c>
      <c r="Y7" s="9">
        <f>'Vstupy FA'!AA9</f>
        <v>5812342.4436784964</v>
      </c>
      <c r="Z7" s="9">
        <f>'Vstupy FA'!AB9</f>
        <v>5812342.4436784964</v>
      </c>
      <c r="AA7" s="9">
        <f>'Vstupy FA'!AC9</f>
        <v>5812342.4436784964</v>
      </c>
      <c r="AB7" s="9">
        <f>'Vstupy FA'!AD9</f>
        <v>5812342.4436784964</v>
      </c>
      <c r="AC7" s="9">
        <f>'Vstupy FA'!AE9</f>
        <v>5812342.4436784964</v>
      </c>
      <c r="AD7" s="9">
        <f>'Vstupy FA'!AF9</f>
        <v>5812342.4436784964</v>
      </c>
      <c r="AE7" s="9">
        <f>'Vstupy FA'!AG9</f>
        <v>5812342.4436784964</v>
      </c>
      <c r="AF7" s="9">
        <f>'Vstupy FA'!AH9</f>
        <v>5812342.4436784964</v>
      </c>
      <c r="AG7" s="9">
        <f>'Vstupy FA'!AI9</f>
        <v>5812342.4436784964</v>
      </c>
      <c r="AH7" s="9">
        <f>'Vstupy FA'!AJ9</f>
        <v>5812342.4436784964</v>
      </c>
      <c r="AI7" s="9">
        <f>'Vstupy FA'!AK9</f>
        <v>5812342.4436784964</v>
      </c>
      <c r="AJ7" s="9">
        <f>'Vstupy FA'!AL9</f>
        <v>5812342.4436784964</v>
      </c>
      <c r="AK7" s="9">
        <f>'Vstupy FA'!AM9</f>
        <v>5812342.4436784964</v>
      </c>
      <c r="AL7" s="9">
        <f>'Vstupy FA'!AN9</f>
        <v>5812342.4436784964</v>
      </c>
      <c r="AM7" s="9">
        <f>'Vstupy FA'!AO9</f>
        <v>5812342.4436784964</v>
      </c>
      <c r="AN7" s="9">
        <f>'Vstupy FA'!AP9</f>
        <v>5812342.4436784964</v>
      </c>
      <c r="AO7" s="9">
        <f>'Vstupy FA'!AQ9</f>
        <v>5812342.4436784964</v>
      </c>
      <c r="AP7" s="9">
        <f>'Vstupy FA'!AR9</f>
        <v>5812342.4436784964</v>
      </c>
      <c r="AQ7" s="9">
        <f>'Vstupy FA'!AS9</f>
        <v>5812342.4436784964</v>
      </c>
    </row>
    <row r="8" spans="2:43">
      <c r="B8" s="3" t="s">
        <v>42</v>
      </c>
      <c r="C8" s="8">
        <f t="shared" si="12"/>
        <v>0</v>
      </c>
      <c r="D8" s="9">
        <f>'Vstupy FA'!F10</f>
        <v>0</v>
      </c>
      <c r="E8" s="9">
        <f>'Vstupy FA'!G10</f>
        <v>0</v>
      </c>
      <c r="F8" s="9">
        <f>'Vstupy FA'!H10</f>
        <v>0</v>
      </c>
      <c r="G8" s="9">
        <f>'Vstupy FA'!I10</f>
        <v>0</v>
      </c>
      <c r="H8" s="9">
        <f>'Vstupy FA'!J10</f>
        <v>0</v>
      </c>
      <c r="I8" s="9">
        <f>'Vstupy FA'!K10</f>
        <v>0</v>
      </c>
      <c r="J8" s="9">
        <f>'Vstupy FA'!L10</f>
        <v>0</v>
      </c>
      <c r="K8" s="9">
        <f>'Vstupy FA'!M10</f>
        <v>0</v>
      </c>
      <c r="L8" s="9">
        <f>'Vstupy FA'!N10</f>
        <v>0</v>
      </c>
      <c r="M8" s="9">
        <f>'Vstupy FA'!O10</f>
        <v>0</v>
      </c>
      <c r="N8" s="9">
        <f>'Vstupy FA'!P10</f>
        <v>0</v>
      </c>
      <c r="O8" s="9">
        <f>'Vstupy FA'!Q10</f>
        <v>0</v>
      </c>
      <c r="P8" s="9">
        <f>'Vstupy FA'!R10</f>
        <v>0</v>
      </c>
      <c r="Q8" s="9">
        <f>'Vstupy FA'!S10</f>
        <v>0</v>
      </c>
      <c r="R8" s="9">
        <f>'Vstupy FA'!T10</f>
        <v>0</v>
      </c>
      <c r="S8" s="9">
        <f>'Vstupy FA'!U10</f>
        <v>0</v>
      </c>
      <c r="T8" s="9">
        <f>'Vstupy FA'!V10</f>
        <v>0</v>
      </c>
      <c r="U8" s="9">
        <f>'Vstupy FA'!W10</f>
        <v>0</v>
      </c>
      <c r="V8" s="9">
        <f>'Vstupy FA'!X10</f>
        <v>0</v>
      </c>
      <c r="W8" s="9">
        <f>'Vstupy FA'!Y10</f>
        <v>0</v>
      </c>
      <c r="X8" s="9">
        <f>'Vstupy FA'!Z10</f>
        <v>0</v>
      </c>
      <c r="Y8" s="9">
        <f>'Vstupy FA'!AA10</f>
        <v>0</v>
      </c>
      <c r="Z8" s="9">
        <f>'Vstupy FA'!AB10</f>
        <v>0</v>
      </c>
      <c r="AA8" s="9">
        <f>'Vstupy FA'!AC10</f>
        <v>0</v>
      </c>
      <c r="AB8" s="9">
        <f>'Vstupy FA'!AD10</f>
        <v>0</v>
      </c>
      <c r="AC8" s="9">
        <f>'Vstupy FA'!AE10</f>
        <v>0</v>
      </c>
      <c r="AD8" s="9">
        <f>'Vstupy FA'!AF10</f>
        <v>0</v>
      </c>
      <c r="AE8" s="9">
        <f>'Vstupy FA'!AG10</f>
        <v>0</v>
      </c>
      <c r="AF8" s="9">
        <f>'Vstupy FA'!AH10</f>
        <v>0</v>
      </c>
      <c r="AG8" s="9">
        <f>'Vstupy FA'!AI10</f>
        <v>0</v>
      </c>
      <c r="AH8" s="9">
        <f>'Vstupy FA'!AJ10</f>
        <v>0</v>
      </c>
      <c r="AI8" s="9">
        <f>'Vstupy FA'!AK10</f>
        <v>0</v>
      </c>
      <c r="AJ8" s="9">
        <f>'Vstupy FA'!AL10</f>
        <v>0</v>
      </c>
      <c r="AK8" s="9">
        <f>'Vstupy FA'!AM10</f>
        <v>0</v>
      </c>
      <c r="AL8" s="9">
        <f>'Vstupy FA'!AN10</f>
        <v>0</v>
      </c>
      <c r="AM8" s="9">
        <f>'Vstupy FA'!AO10</f>
        <v>0</v>
      </c>
      <c r="AN8" s="9">
        <f>'Vstupy FA'!AP10</f>
        <v>0</v>
      </c>
      <c r="AO8" s="9">
        <f>'Vstupy FA'!AQ10</f>
        <v>0</v>
      </c>
      <c r="AP8" s="9">
        <f>'Vstupy FA'!AR10</f>
        <v>0</v>
      </c>
      <c r="AQ8" s="9">
        <f>'Vstupy FA'!AS10</f>
        <v>0</v>
      </c>
    </row>
    <row r="9" spans="2:43">
      <c r="B9" s="3" t="s">
        <v>586</v>
      </c>
      <c r="C9" s="8">
        <f t="shared" si="12"/>
        <v>5674017.2698353101</v>
      </c>
      <c r="D9" s="9">
        <f>'Vstupy FA'!F11</f>
        <v>141850.43174588273</v>
      </c>
      <c r="E9" s="9">
        <f>'Vstupy FA'!G11</f>
        <v>141850.43174588273</v>
      </c>
      <c r="F9" s="9">
        <f>'Vstupy FA'!H11</f>
        <v>141850.43174588273</v>
      </c>
      <c r="G9" s="9">
        <f>'Vstupy FA'!I11</f>
        <v>141850.43174588273</v>
      </c>
      <c r="H9" s="9">
        <f>'Vstupy FA'!J11</f>
        <v>141850.43174588273</v>
      </c>
      <c r="I9" s="9">
        <f>'Vstupy FA'!K11</f>
        <v>141850.43174588273</v>
      </c>
      <c r="J9" s="9">
        <f>'Vstupy FA'!L11</f>
        <v>141850.43174588273</v>
      </c>
      <c r="K9" s="9">
        <f>'Vstupy FA'!M11</f>
        <v>141850.43174588273</v>
      </c>
      <c r="L9" s="9">
        <f>'Vstupy FA'!N11</f>
        <v>141850.43174588273</v>
      </c>
      <c r="M9" s="9">
        <f>'Vstupy FA'!O11</f>
        <v>141850.43174588273</v>
      </c>
      <c r="N9" s="9">
        <f>'Vstupy FA'!P11</f>
        <v>141850.43174588273</v>
      </c>
      <c r="O9" s="9">
        <f>'Vstupy FA'!Q11</f>
        <v>141850.43174588273</v>
      </c>
      <c r="P9" s="9">
        <f>'Vstupy FA'!R11</f>
        <v>141850.43174588273</v>
      </c>
      <c r="Q9" s="9">
        <f>'Vstupy FA'!S11</f>
        <v>141850.43174588273</v>
      </c>
      <c r="R9" s="9">
        <f>'Vstupy FA'!T11</f>
        <v>141850.43174588273</v>
      </c>
      <c r="S9" s="9">
        <f>'Vstupy FA'!U11</f>
        <v>141850.43174588273</v>
      </c>
      <c r="T9" s="9">
        <f>'Vstupy FA'!V11</f>
        <v>141850.43174588273</v>
      </c>
      <c r="U9" s="9">
        <f>'Vstupy FA'!W11</f>
        <v>141850.43174588273</v>
      </c>
      <c r="V9" s="9">
        <f>'Vstupy FA'!X11</f>
        <v>141850.43174588273</v>
      </c>
      <c r="W9" s="9">
        <f>'Vstupy FA'!Y11</f>
        <v>141850.43174588273</v>
      </c>
      <c r="X9" s="9">
        <f>'Vstupy FA'!Z11</f>
        <v>141850.43174588273</v>
      </c>
      <c r="Y9" s="9">
        <f>'Vstupy FA'!AA11</f>
        <v>141850.43174588273</v>
      </c>
      <c r="Z9" s="9">
        <f>'Vstupy FA'!AB11</f>
        <v>141850.43174588273</v>
      </c>
      <c r="AA9" s="9">
        <f>'Vstupy FA'!AC11</f>
        <v>141850.43174588273</v>
      </c>
      <c r="AB9" s="9">
        <f>'Vstupy FA'!AD11</f>
        <v>141850.43174588273</v>
      </c>
      <c r="AC9" s="9">
        <f>'Vstupy FA'!AE11</f>
        <v>141850.43174588273</v>
      </c>
      <c r="AD9" s="9">
        <f>'Vstupy FA'!AF11</f>
        <v>141850.43174588273</v>
      </c>
      <c r="AE9" s="9">
        <f>'Vstupy FA'!AG11</f>
        <v>141850.43174588273</v>
      </c>
      <c r="AF9" s="9">
        <f>'Vstupy FA'!AH11</f>
        <v>141850.43174588273</v>
      </c>
      <c r="AG9" s="9">
        <f>'Vstupy FA'!AI11</f>
        <v>141850.43174588273</v>
      </c>
      <c r="AH9" s="9">
        <f>'Vstupy FA'!AJ11</f>
        <v>141850.43174588273</v>
      </c>
      <c r="AI9" s="9">
        <f>'Vstupy FA'!AK11</f>
        <v>141850.43174588273</v>
      </c>
      <c r="AJ9" s="9">
        <f>'Vstupy FA'!AL11</f>
        <v>141850.43174588273</v>
      </c>
      <c r="AK9" s="9">
        <f>'Vstupy FA'!AM11</f>
        <v>141850.43174588273</v>
      </c>
      <c r="AL9" s="9">
        <f>'Vstupy FA'!AN11</f>
        <v>141850.43174588273</v>
      </c>
      <c r="AM9" s="9">
        <f>'Vstupy FA'!AO11</f>
        <v>141850.43174588273</v>
      </c>
      <c r="AN9" s="9">
        <f>'Vstupy FA'!AP11</f>
        <v>141850.43174588273</v>
      </c>
      <c r="AO9" s="9">
        <f>'Vstupy FA'!AQ11</f>
        <v>141850.43174588273</v>
      </c>
      <c r="AP9" s="9">
        <f>'Vstupy FA'!AR11</f>
        <v>141850.43174588273</v>
      </c>
      <c r="AQ9" s="9">
        <f>'Vstupy FA'!AS11</f>
        <v>141850.43174588273</v>
      </c>
    </row>
    <row r="10" spans="2:43">
      <c r="B10" s="4" t="s">
        <v>478</v>
      </c>
      <c r="C10" s="13">
        <f t="shared" si="12"/>
        <v>238167715.01697531</v>
      </c>
      <c r="D10" s="13">
        <f>SUM(D7:D9)</f>
        <v>5954192.8754243795</v>
      </c>
      <c r="E10" s="13">
        <f t="shared" ref="E10:AF10" si="13">SUM(E7:E9)</f>
        <v>5954192.8754243795</v>
      </c>
      <c r="F10" s="13">
        <f t="shared" si="13"/>
        <v>5954192.8754243795</v>
      </c>
      <c r="G10" s="13">
        <f t="shared" si="13"/>
        <v>5954192.8754243795</v>
      </c>
      <c r="H10" s="13">
        <f t="shared" si="13"/>
        <v>5954192.8754243795</v>
      </c>
      <c r="I10" s="13">
        <f t="shared" si="13"/>
        <v>5954192.8754243795</v>
      </c>
      <c r="J10" s="13">
        <f t="shared" si="13"/>
        <v>5954192.8754243795</v>
      </c>
      <c r="K10" s="13">
        <f t="shared" si="13"/>
        <v>5954192.8754243795</v>
      </c>
      <c r="L10" s="13">
        <f t="shared" si="13"/>
        <v>5954192.8754243795</v>
      </c>
      <c r="M10" s="13">
        <f t="shared" si="13"/>
        <v>5954192.8754243795</v>
      </c>
      <c r="N10" s="13">
        <f t="shared" si="13"/>
        <v>5954192.8754243795</v>
      </c>
      <c r="O10" s="13">
        <f t="shared" si="13"/>
        <v>5954192.8754243795</v>
      </c>
      <c r="P10" s="13">
        <f t="shared" si="13"/>
        <v>5954192.8754243795</v>
      </c>
      <c r="Q10" s="13">
        <f t="shared" si="13"/>
        <v>5954192.8754243795</v>
      </c>
      <c r="R10" s="13">
        <f t="shared" si="13"/>
        <v>5954192.8754243795</v>
      </c>
      <c r="S10" s="13">
        <f t="shared" si="13"/>
        <v>5954192.8754243795</v>
      </c>
      <c r="T10" s="13">
        <f t="shared" si="13"/>
        <v>5954192.8754243795</v>
      </c>
      <c r="U10" s="13">
        <f t="shared" si="13"/>
        <v>5954192.8754243795</v>
      </c>
      <c r="V10" s="13">
        <f t="shared" si="13"/>
        <v>5954192.8754243795</v>
      </c>
      <c r="W10" s="13">
        <f t="shared" si="13"/>
        <v>5954192.8754243795</v>
      </c>
      <c r="X10" s="13">
        <f t="shared" si="13"/>
        <v>5954192.8754243795</v>
      </c>
      <c r="Y10" s="13">
        <f t="shared" si="13"/>
        <v>5954192.8754243795</v>
      </c>
      <c r="Z10" s="13">
        <f t="shared" si="13"/>
        <v>5954192.8754243795</v>
      </c>
      <c r="AA10" s="13">
        <f t="shared" si="13"/>
        <v>5954192.8754243795</v>
      </c>
      <c r="AB10" s="13">
        <f t="shared" si="13"/>
        <v>5954192.8754243795</v>
      </c>
      <c r="AC10" s="13">
        <f t="shared" si="13"/>
        <v>5954192.8754243795</v>
      </c>
      <c r="AD10" s="13">
        <f t="shared" si="13"/>
        <v>5954192.8754243795</v>
      </c>
      <c r="AE10" s="13">
        <f t="shared" si="13"/>
        <v>5954192.8754243795</v>
      </c>
      <c r="AF10" s="13">
        <f t="shared" si="13"/>
        <v>5954192.8754243795</v>
      </c>
      <c r="AG10" s="13">
        <f t="shared" ref="AG10:AQ10" si="14">SUM(AG7:AG9)</f>
        <v>5954192.8754243795</v>
      </c>
      <c r="AH10" s="13">
        <f t="shared" si="14"/>
        <v>5954192.8754243795</v>
      </c>
      <c r="AI10" s="13">
        <f t="shared" si="14"/>
        <v>5954192.8754243795</v>
      </c>
      <c r="AJ10" s="13">
        <f t="shared" si="14"/>
        <v>5954192.8754243795</v>
      </c>
      <c r="AK10" s="13">
        <f t="shared" si="14"/>
        <v>5954192.8754243795</v>
      </c>
      <c r="AL10" s="13">
        <f t="shared" si="14"/>
        <v>5954192.8754243795</v>
      </c>
      <c r="AM10" s="13">
        <f t="shared" si="14"/>
        <v>5954192.8754243795</v>
      </c>
      <c r="AN10" s="13">
        <f t="shared" si="14"/>
        <v>5954192.8754243795</v>
      </c>
      <c r="AO10" s="13">
        <f t="shared" si="14"/>
        <v>5954192.8754243795</v>
      </c>
      <c r="AP10" s="13">
        <f t="shared" si="14"/>
        <v>5954192.8754243795</v>
      </c>
      <c r="AQ10" s="13">
        <f t="shared" si="14"/>
        <v>5954192.8754243795</v>
      </c>
    </row>
    <row r="11" spans="2:43">
      <c r="B11" s="3" t="s">
        <v>587</v>
      </c>
      <c r="C11" s="8">
        <f t="shared" si="12"/>
        <v>172977323.24823621</v>
      </c>
      <c r="D11" s="9">
        <f>'Vstupy FA'!F13</f>
        <v>4324433.0812059082</v>
      </c>
      <c r="E11" s="9">
        <f>'Vstupy FA'!G13</f>
        <v>4324433.0812059082</v>
      </c>
      <c r="F11" s="9">
        <f>'Vstupy FA'!H13</f>
        <v>4324433.0812059082</v>
      </c>
      <c r="G11" s="9">
        <f>'Vstupy FA'!I13</f>
        <v>4324433.0812059082</v>
      </c>
      <c r="H11" s="9">
        <f>'Vstupy FA'!J13</f>
        <v>4324433.0812059082</v>
      </c>
      <c r="I11" s="9">
        <f>'Vstupy FA'!K13</f>
        <v>4324433.0812059082</v>
      </c>
      <c r="J11" s="9">
        <f>'Vstupy FA'!L13</f>
        <v>4324433.0812059082</v>
      </c>
      <c r="K11" s="9">
        <f>'Vstupy FA'!M13</f>
        <v>4324433.0812059082</v>
      </c>
      <c r="L11" s="9">
        <f>'Vstupy FA'!N13</f>
        <v>4324433.0812059082</v>
      </c>
      <c r="M11" s="9">
        <f>'Vstupy FA'!O13</f>
        <v>4324433.0812059082</v>
      </c>
      <c r="N11" s="9">
        <f>'Vstupy FA'!P13</f>
        <v>4324433.0812059082</v>
      </c>
      <c r="O11" s="9">
        <f>'Vstupy FA'!Q13</f>
        <v>4324433.0812059082</v>
      </c>
      <c r="P11" s="9">
        <f>'Vstupy FA'!R13</f>
        <v>4324433.0812059082</v>
      </c>
      <c r="Q11" s="9">
        <f>'Vstupy FA'!S13</f>
        <v>4324433.0812059082</v>
      </c>
      <c r="R11" s="9">
        <f>'Vstupy FA'!T13</f>
        <v>4324433.0812059082</v>
      </c>
      <c r="S11" s="9">
        <f>'Vstupy FA'!U13</f>
        <v>4324433.0812059082</v>
      </c>
      <c r="T11" s="9">
        <f>'Vstupy FA'!V13</f>
        <v>4324433.0812059082</v>
      </c>
      <c r="U11" s="9">
        <f>'Vstupy FA'!W13</f>
        <v>4324433.0812059082</v>
      </c>
      <c r="V11" s="9">
        <f>'Vstupy FA'!X13</f>
        <v>4324433.0812059082</v>
      </c>
      <c r="W11" s="9">
        <f>'Vstupy FA'!Y13</f>
        <v>4324433.0812059082</v>
      </c>
      <c r="X11" s="9">
        <f>'Vstupy FA'!Z13</f>
        <v>4324433.0812059082</v>
      </c>
      <c r="Y11" s="9">
        <f>'Vstupy FA'!AA13</f>
        <v>4324433.0812059082</v>
      </c>
      <c r="Z11" s="9">
        <f>'Vstupy FA'!AB13</f>
        <v>4324433.0812059082</v>
      </c>
      <c r="AA11" s="9">
        <f>'Vstupy FA'!AC13</f>
        <v>4324433.0812059082</v>
      </c>
      <c r="AB11" s="9">
        <f>'Vstupy FA'!AD13</f>
        <v>4324433.0812059082</v>
      </c>
      <c r="AC11" s="9">
        <f>'Vstupy FA'!AE13</f>
        <v>4324433.0812059082</v>
      </c>
      <c r="AD11" s="9">
        <f>'Vstupy FA'!AF13</f>
        <v>4324433.0812059082</v>
      </c>
      <c r="AE11" s="9">
        <f>'Vstupy FA'!AG13</f>
        <v>4324433.0812059082</v>
      </c>
      <c r="AF11" s="9">
        <f>'Vstupy FA'!AH13</f>
        <v>4324433.0812059082</v>
      </c>
      <c r="AG11" s="9">
        <f>'Vstupy FA'!AI13</f>
        <v>4324433.0812059082</v>
      </c>
      <c r="AH11" s="9">
        <f>'Vstupy FA'!AJ13</f>
        <v>4324433.0812059082</v>
      </c>
      <c r="AI11" s="9">
        <f>'Vstupy FA'!AK13</f>
        <v>4324433.0812059082</v>
      </c>
      <c r="AJ11" s="9">
        <f>'Vstupy FA'!AL13</f>
        <v>4324433.0812059082</v>
      </c>
      <c r="AK11" s="9">
        <f>'Vstupy FA'!AM13</f>
        <v>4324433.0812059082</v>
      </c>
      <c r="AL11" s="9">
        <f>'Vstupy FA'!AN13</f>
        <v>4324433.0812059082</v>
      </c>
      <c r="AM11" s="9">
        <f>'Vstupy FA'!AO13</f>
        <v>4324433.0812059082</v>
      </c>
      <c r="AN11" s="9">
        <f>'Vstupy FA'!AP13</f>
        <v>4324433.0812059082</v>
      </c>
      <c r="AO11" s="9">
        <f>'Vstupy FA'!AQ13</f>
        <v>4324433.0812059082</v>
      </c>
      <c r="AP11" s="9">
        <f>'Vstupy FA'!AR13</f>
        <v>4324433.0812059082</v>
      </c>
      <c r="AQ11" s="9">
        <f>'Vstupy FA'!AS13</f>
        <v>4324433.0812059082</v>
      </c>
    </row>
    <row r="12" spans="2:43" ht="12" thickBot="1">
      <c r="B12" s="21" t="s">
        <v>69</v>
      </c>
      <c r="C12" s="22">
        <f t="shared" si="12"/>
        <v>172977323.24823621</v>
      </c>
      <c r="D12" s="22">
        <f>SUM(D11:D11)</f>
        <v>4324433.0812059082</v>
      </c>
      <c r="E12" s="22">
        <f t="shared" ref="E12:AF12" si="15">SUM(E11:E11)</f>
        <v>4324433.0812059082</v>
      </c>
      <c r="F12" s="22">
        <f t="shared" si="15"/>
        <v>4324433.0812059082</v>
      </c>
      <c r="G12" s="22">
        <f t="shared" si="15"/>
        <v>4324433.0812059082</v>
      </c>
      <c r="H12" s="22">
        <f t="shared" si="15"/>
        <v>4324433.0812059082</v>
      </c>
      <c r="I12" s="22">
        <f t="shared" si="15"/>
        <v>4324433.0812059082</v>
      </c>
      <c r="J12" s="22">
        <f t="shared" si="15"/>
        <v>4324433.0812059082</v>
      </c>
      <c r="K12" s="22">
        <f t="shared" si="15"/>
        <v>4324433.0812059082</v>
      </c>
      <c r="L12" s="22">
        <f t="shared" si="15"/>
        <v>4324433.0812059082</v>
      </c>
      <c r="M12" s="22">
        <f t="shared" si="15"/>
        <v>4324433.0812059082</v>
      </c>
      <c r="N12" s="22">
        <f t="shared" si="15"/>
        <v>4324433.0812059082</v>
      </c>
      <c r="O12" s="22">
        <f t="shared" si="15"/>
        <v>4324433.0812059082</v>
      </c>
      <c r="P12" s="22">
        <f t="shared" si="15"/>
        <v>4324433.0812059082</v>
      </c>
      <c r="Q12" s="22">
        <f t="shared" si="15"/>
        <v>4324433.0812059082</v>
      </c>
      <c r="R12" s="22">
        <f t="shared" si="15"/>
        <v>4324433.0812059082</v>
      </c>
      <c r="S12" s="22">
        <f t="shared" si="15"/>
        <v>4324433.0812059082</v>
      </c>
      <c r="T12" s="22">
        <f t="shared" si="15"/>
        <v>4324433.0812059082</v>
      </c>
      <c r="U12" s="22">
        <f t="shared" si="15"/>
        <v>4324433.0812059082</v>
      </c>
      <c r="V12" s="22">
        <f t="shared" si="15"/>
        <v>4324433.0812059082</v>
      </c>
      <c r="W12" s="22">
        <f t="shared" si="15"/>
        <v>4324433.0812059082</v>
      </c>
      <c r="X12" s="22">
        <f t="shared" si="15"/>
        <v>4324433.0812059082</v>
      </c>
      <c r="Y12" s="22">
        <f t="shared" si="15"/>
        <v>4324433.0812059082</v>
      </c>
      <c r="Z12" s="22">
        <f t="shared" si="15"/>
        <v>4324433.0812059082</v>
      </c>
      <c r="AA12" s="22">
        <f t="shared" si="15"/>
        <v>4324433.0812059082</v>
      </c>
      <c r="AB12" s="22">
        <f t="shared" si="15"/>
        <v>4324433.0812059082</v>
      </c>
      <c r="AC12" s="22">
        <f t="shared" si="15"/>
        <v>4324433.0812059082</v>
      </c>
      <c r="AD12" s="22">
        <f t="shared" si="15"/>
        <v>4324433.0812059082</v>
      </c>
      <c r="AE12" s="22">
        <f t="shared" si="15"/>
        <v>4324433.0812059082</v>
      </c>
      <c r="AF12" s="22">
        <f t="shared" si="15"/>
        <v>4324433.0812059082</v>
      </c>
      <c r="AG12" s="22">
        <f t="shared" ref="AG12:AQ12" si="16">SUM(AG11:AG11)</f>
        <v>4324433.0812059082</v>
      </c>
      <c r="AH12" s="22">
        <f t="shared" si="16"/>
        <v>4324433.0812059082</v>
      </c>
      <c r="AI12" s="22">
        <f t="shared" si="16"/>
        <v>4324433.0812059082</v>
      </c>
      <c r="AJ12" s="22">
        <f t="shared" si="16"/>
        <v>4324433.0812059082</v>
      </c>
      <c r="AK12" s="22">
        <f t="shared" si="16"/>
        <v>4324433.0812059082</v>
      </c>
      <c r="AL12" s="22">
        <f t="shared" si="16"/>
        <v>4324433.0812059082</v>
      </c>
      <c r="AM12" s="22">
        <f t="shared" si="16"/>
        <v>4324433.0812059082</v>
      </c>
      <c r="AN12" s="22">
        <f t="shared" si="16"/>
        <v>4324433.0812059082</v>
      </c>
      <c r="AO12" s="22">
        <f t="shared" si="16"/>
        <v>4324433.0812059082</v>
      </c>
      <c r="AP12" s="22">
        <f t="shared" si="16"/>
        <v>4324433.0812059082</v>
      </c>
      <c r="AQ12" s="22">
        <f t="shared" si="16"/>
        <v>4324433.0812059082</v>
      </c>
    </row>
    <row r="13" spans="2:43" ht="12" thickTop="1">
      <c r="B13" s="23" t="s">
        <v>68</v>
      </c>
      <c r="C13" s="24">
        <f t="shared" si="12"/>
        <v>411145038.26521152</v>
      </c>
      <c r="D13" s="24">
        <f>SUM(D10,D12)</f>
        <v>10278625.956630288</v>
      </c>
      <c r="E13" s="24">
        <f t="shared" ref="E13:AF13" si="17">SUM(E10,E12)</f>
        <v>10278625.956630288</v>
      </c>
      <c r="F13" s="24">
        <f t="shared" si="17"/>
        <v>10278625.956630288</v>
      </c>
      <c r="G13" s="24">
        <f t="shared" si="17"/>
        <v>10278625.956630288</v>
      </c>
      <c r="H13" s="24">
        <f t="shared" si="17"/>
        <v>10278625.956630288</v>
      </c>
      <c r="I13" s="24">
        <f t="shared" si="17"/>
        <v>10278625.956630288</v>
      </c>
      <c r="J13" s="24">
        <f t="shared" si="17"/>
        <v>10278625.956630288</v>
      </c>
      <c r="K13" s="24">
        <f t="shared" si="17"/>
        <v>10278625.956630288</v>
      </c>
      <c r="L13" s="24">
        <f t="shared" si="17"/>
        <v>10278625.956630288</v>
      </c>
      <c r="M13" s="24">
        <f t="shared" si="17"/>
        <v>10278625.956630288</v>
      </c>
      <c r="N13" s="24">
        <f t="shared" si="17"/>
        <v>10278625.956630288</v>
      </c>
      <c r="O13" s="24">
        <f t="shared" si="17"/>
        <v>10278625.956630288</v>
      </c>
      <c r="P13" s="24">
        <f t="shared" si="17"/>
        <v>10278625.956630288</v>
      </c>
      <c r="Q13" s="24">
        <f t="shared" si="17"/>
        <v>10278625.956630288</v>
      </c>
      <c r="R13" s="24">
        <f t="shared" si="17"/>
        <v>10278625.956630288</v>
      </c>
      <c r="S13" s="24">
        <f t="shared" si="17"/>
        <v>10278625.956630288</v>
      </c>
      <c r="T13" s="24">
        <f t="shared" si="17"/>
        <v>10278625.956630288</v>
      </c>
      <c r="U13" s="24">
        <f t="shared" si="17"/>
        <v>10278625.956630288</v>
      </c>
      <c r="V13" s="24">
        <f t="shared" si="17"/>
        <v>10278625.956630288</v>
      </c>
      <c r="W13" s="24">
        <f t="shared" si="17"/>
        <v>10278625.956630288</v>
      </c>
      <c r="X13" s="24">
        <f t="shared" si="17"/>
        <v>10278625.956630288</v>
      </c>
      <c r="Y13" s="24">
        <f t="shared" si="17"/>
        <v>10278625.956630288</v>
      </c>
      <c r="Z13" s="24">
        <f t="shared" si="17"/>
        <v>10278625.956630288</v>
      </c>
      <c r="AA13" s="24">
        <f t="shared" si="17"/>
        <v>10278625.956630288</v>
      </c>
      <c r="AB13" s="24">
        <f t="shared" si="17"/>
        <v>10278625.956630288</v>
      </c>
      <c r="AC13" s="24">
        <f t="shared" si="17"/>
        <v>10278625.956630288</v>
      </c>
      <c r="AD13" s="24">
        <f t="shared" si="17"/>
        <v>10278625.956630288</v>
      </c>
      <c r="AE13" s="24">
        <f t="shared" si="17"/>
        <v>10278625.956630288</v>
      </c>
      <c r="AF13" s="24">
        <f t="shared" si="17"/>
        <v>10278625.956630288</v>
      </c>
      <c r="AG13" s="24">
        <f t="shared" ref="AG13:AQ13" si="18">SUM(AG10,AG12)</f>
        <v>10278625.956630288</v>
      </c>
      <c r="AH13" s="24">
        <f t="shared" si="18"/>
        <v>10278625.956630288</v>
      </c>
      <c r="AI13" s="24">
        <f t="shared" si="18"/>
        <v>10278625.956630288</v>
      </c>
      <c r="AJ13" s="24">
        <f t="shared" si="18"/>
        <v>10278625.956630288</v>
      </c>
      <c r="AK13" s="24">
        <f t="shared" si="18"/>
        <v>10278625.956630288</v>
      </c>
      <c r="AL13" s="24">
        <f t="shared" si="18"/>
        <v>10278625.956630288</v>
      </c>
      <c r="AM13" s="24">
        <f t="shared" si="18"/>
        <v>10278625.956630288</v>
      </c>
      <c r="AN13" s="24">
        <f t="shared" si="18"/>
        <v>10278625.956630288</v>
      </c>
      <c r="AO13" s="24">
        <f t="shared" si="18"/>
        <v>10278625.956630288</v>
      </c>
      <c r="AP13" s="24">
        <f t="shared" si="18"/>
        <v>10278625.956630288</v>
      </c>
      <c r="AQ13" s="24">
        <f t="shared" si="18"/>
        <v>10278625.956630288</v>
      </c>
    </row>
    <row r="16" spans="2:43">
      <c r="C16" s="3"/>
      <c r="D16" s="3" t="s">
        <v>9</v>
      </c>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row>
    <row r="17" spans="2:43">
      <c r="B17" s="4" t="s">
        <v>71</v>
      </c>
      <c r="C17" s="4"/>
      <c r="D17" s="5">
        <v>1</v>
      </c>
      <c r="E17" s="5">
        <v>2</v>
      </c>
      <c r="F17" s="5">
        <v>3</v>
      </c>
      <c r="G17" s="5">
        <v>4</v>
      </c>
      <c r="H17" s="5">
        <v>5</v>
      </c>
      <c r="I17" s="5">
        <v>6</v>
      </c>
      <c r="J17" s="5">
        <v>7</v>
      </c>
      <c r="K17" s="5">
        <v>8</v>
      </c>
      <c r="L17" s="5">
        <v>9</v>
      </c>
      <c r="M17" s="5">
        <v>10</v>
      </c>
      <c r="N17" s="5">
        <v>11</v>
      </c>
      <c r="O17" s="5">
        <v>12</v>
      </c>
      <c r="P17" s="5">
        <v>13</v>
      </c>
      <c r="Q17" s="5">
        <v>14</v>
      </c>
      <c r="R17" s="5">
        <v>15</v>
      </c>
      <c r="S17" s="5">
        <v>16</v>
      </c>
      <c r="T17" s="5">
        <v>17</v>
      </c>
      <c r="U17" s="5">
        <v>18</v>
      </c>
      <c r="V17" s="5">
        <v>19</v>
      </c>
      <c r="W17" s="5">
        <v>20</v>
      </c>
      <c r="X17" s="5">
        <v>21</v>
      </c>
      <c r="Y17" s="5">
        <v>22</v>
      </c>
      <c r="Z17" s="5">
        <v>23</v>
      </c>
      <c r="AA17" s="5">
        <v>24</v>
      </c>
      <c r="AB17" s="5">
        <v>25</v>
      </c>
      <c r="AC17" s="5">
        <v>26</v>
      </c>
      <c r="AD17" s="5">
        <v>27</v>
      </c>
      <c r="AE17" s="5">
        <v>28</v>
      </c>
      <c r="AF17" s="5">
        <f>AF5</f>
        <v>29</v>
      </c>
      <c r="AG17" s="5">
        <f t="shared" ref="AG17:AQ17" si="19">AG5</f>
        <v>30</v>
      </c>
      <c r="AH17" s="5">
        <f t="shared" si="19"/>
        <v>31</v>
      </c>
      <c r="AI17" s="5">
        <f t="shared" si="19"/>
        <v>32</v>
      </c>
      <c r="AJ17" s="5">
        <f t="shared" si="19"/>
        <v>33</v>
      </c>
      <c r="AK17" s="5">
        <f t="shared" si="19"/>
        <v>34</v>
      </c>
      <c r="AL17" s="5">
        <f t="shared" si="19"/>
        <v>35</v>
      </c>
      <c r="AM17" s="5">
        <f t="shared" si="19"/>
        <v>36</v>
      </c>
      <c r="AN17" s="5">
        <f t="shared" si="19"/>
        <v>37</v>
      </c>
      <c r="AO17" s="5">
        <f t="shared" si="19"/>
        <v>38</v>
      </c>
      <c r="AP17" s="5">
        <f t="shared" si="19"/>
        <v>39</v>
      </c>
      <c r="AQ17" s="5">
        <f t="shared" si="19"/>
        <v>40</v>
      </c>
    </row>
    <row r="18" spans="2:43">
      <c r="B18" s="6" t="s">
        <v>43</v>
      </c>
      <c r="C18" s="6" t="s">
        <v>8</v>
      </c>
      <c r="D18" s="7">
        <f>D6</f>
        <v>2024</v>
      </c>
      <c r="E18" s="7">
        <f>$D$6+D17</f>
        <v>2025</v>
      </c>
      <c r="F18" s="7">
        <f>$D$6+E17</f>
        <v>2026</v>
      </c>
      <c r="G18" s="7">
        <f>$D$6+F17</f>
        <v>2027</v>
      </c>
      <c r="H18" s="7">
        <f t="shared" ref="H18:AF18" si="20">$D$6+G17</f>
        <v>2028</v>
      </c>
      <c r="I18" s="7">
        <f t="shared" si="20"/>
        <v>2029</v>
      </c>
      <c r="J18" s="7">
        <f t="shared" si="20"/>
        <v>2030</v>
      </c>
      <c r="K18" s="7">
        <f t="shared" si="20"/>
        <v>2031</v>
      </c>
      <c r="L18" s="7">
        <f t="shared" si="20"/>
        <v>2032</v>
      </c>
      <c r="M18" s="7">
        <f t="shared" si="20"/>
        <v>2033</v>
      </c>
      <c r="N18" s="7">
        <f t="shared" si="20"/>
        <v>2034</v>
      </c>
      <c r="O18" s="7">
        <f t="shared" si="20"/>
        <v>2035</v>
      </c>
      <c r="P18" s="7">
        <f t="shared" si="20"/>
        <v>2036</v>
      </c>
      <c r="Q18" s="7">
        <f t="shared" si="20"/>
        <v>2037</v>
      </c>
      <c r="R18" s="7">
        <f t="shared" si="20"/>
        <v>2038</v>
      </c>
      <c r="S18" s="7">
        <f t="shared" si="20"/>
        <v>2039</v>
      </c>
      <c r="T18" s="7">
        <f t="shared" si="20"/>
        <v>2040</v>
      </c>
      <c r="U18" s="7">
        <f t="shared" si="20"/>
        <v>2041</v>
      </c>
      <c r="V18" s="7">
        <f t="shared" si="20"/>
        <v>2042</v>
      </c>
      <c r="W18" s="7">
        <f t="shared" si="20"/>
        <v>2043</v>
      </c>
      <c r="X18" s="7">
        <f t="shared" si="20"/>
        <v>2044</v>
      </c>
      <c r="Y18" s="7">
        <f t="shared" si="20"/>
        <v>2045</v>
      </c>
      <c r="Z18" s="7">
        <f t="shared" si="20"/>
        <v>2046</v>
      </c>
      <c r="AA18" s="7">
        <f t="shared" si="20"/>
        <v>2047</v>
      </c>
      <c r="AB18" s="7">
        <f t="shared" si="20"/>
        <v>2048</v>
      </c>
      <c r="AC18" s="7">
        <f t="shared" si="20"/>
        <v>2049</v>
      </c>
      <c r="AD18" s="7">
        <f t="shared" si="20"/>
        <v>2050</v>
      </c>
      <c r="AE18" s="7">
        <f t="shared" si="20"/>
        <v>2051</v>
      </c>
      <c r="AF18" s="7">
        <f t="shared" si="20"/>
        <v>2052</v>
      </c>
      <c r="AG18" s="7">
        <f t="shared" ref="AG18" si="21">$D$6+AF17</f>
        <v>2053</v>
      </c>
      <c r="AH18" s="7">
        <f t="shared" ref="AH18" si="22">$D$6+AG17</f>
        <v>2054</v>
      </c>
      <c r="AI18" s="7">
        <f t="shared" ref="AI18" si="23">$D$6+AH17</f>
        <v>2055</v>
      </c>
      <c r="AJ18" s="7">
        <f t="shared" ref="AJ18" si="24">$D$6+AI17</f>
        <v>2056</v>
      </c>
      <c r="AK18" s="7">
        <f t="shared" ref="AK18" si="25">$D$6+AJ17</f>
        <v>2057</v>
      </c>
      <c r="AL18" s="7">
        <f t="shared" ref="AL18" si="26">$D$6+AK17</f>
        <v>2058</v>
      </c>
      <c r="AM18" s="7">
        <f t="shared" ref="AM18" si="27">$D$6+AL17</f>
        <v>2059</v>
      </c>
      <c r="AN18" s="7">
        <f t="shared" ref="AN18" si="28">$D$6+AM17</f>
        <v>2060</v>
      </c>
      <c r="AO18" s="7">
        <f t="shared" ref="AO18" si="29">$D$6+AN17</f>
        <v>2061</v>
      </c>
      <c r="AP18" s="7">
        <f t="shared" ref="AP18" si="30">$D$6+AO17</f>
        <v>2062</v>
      </c>
      <c r="AQ18" s="7">
        <f t="shared" ref="AQ18" si="31">$D$6+AP17</f>
        <v>2063</v>
      </c>
    </row>
    <row r="19" spans="2:43">
      <c r="B19" s="3" t="s">
        <v>73</v>
      </c>
      <c r="C19" s="8">
        <f t="shared" ref="C19:C25" si="32">SUM(D19:AQ19)</f>
        <v>223130120.20031488</v>
      </c>
      <c r="D19" s="9">
        <f>'Vstupy FA'!F21</f>
        <v>5812342.4436784964</v>
      </c>
      <c r="E19" s="9">
        <f>'Vstupy FA'!G21</f>
        <v>5812342.4436784964</v>
      </c>
      <c r="F19" s="9">
        <f>'Vstupy FA'!H21</f>
        <v>5812342.4436784964</v>
      </c>
      <c r="G19" s="9">
        <f>'Vstupy FA'!I21</f>
        <v>5701967.1366935866</v>
      </c>
      <c r="H19" s="9">
        <f>'Vstupy FA'!J21</f>
        <v>5555309.048127383</v>
      </c>
      <c r="I19" s="9">
        <f>'Vstupy FA'!K21</f>
        <v>5555309.048127383</v>
      </c>
      <c r="J19" s="9">
        <f>'Vstupy FA'!L21</f>
        <v>5555309.048127383</v>
      </c>
      <c r="K19" s="9">
        <f>'Vstupy FA'!M21</f>
        <v>5555309.048127383</v>
      </c>
      <c r="L19" s="9">
        <f>'Vstupy FA'!N21</f>
        <v>5555309.048127383</v>
      </c>
      <c r="M19" s="9">
        <f>'Vstupy FA'!O21</f>
        <v>5555309.048127383</v>
      </c>
      <c r="N19" s="9">
        <f>'Vstupy FA'!P21</f>
        <v>5555309.048127383</v>
      </c>
      <c r="O19" s="9">
        <f>'Vstupy FA'!Q21</f>
        <v>5555309.048127383</v>
      </c>
      <c r="P19" s="9">
        <f>'Vstupy FA'!R21</f>
        <v>5555309.048127383</v>
      </c>
      <c r="Q19" s="9">
        <f>'Vstupy FA'!S21</f>
        <v>5555309.048127383</v>
      </c>
      <c r="R19" s="9">
        <f>'Vstupy FA'!T21</f>
        <v>5555309.048127383</v>
      </c>
      <c r="S19" s="9">
        <f>'Vstupy FA'!U21</f>
        <v>5555309.048127383</v>
      </c>
      <c r="T19" s="9">
        <f>'Vstupy FA'!V21</f>
        <v>5555309.048127383</v>
      </c>
      <c r="U19" s="9">
        <f>'Vstupy FA'!W21</f>
        <v>5555309.048127383</v>
      </c>
      <c r="V19" s="9">
        <f>'Vstupy FA'!X21</f>
        <v>5555309.048127383</v>
      </c>
      <c r="W19" s="9">
        <f>'Vstupy FA'!Y21</f>
        <v>5555309.048127383</v>
      </c>
      <c r="X19" s="9">
        <f>'Vstupy FA'!Z21</f>
        <v>5555309.048127383</v>
      </c>
      <c r="Y19" s="9">
        <f>'Vstupy FA'!AA21</f>
        <v>5555309.048127383</v>
      </c>
      <c r="Z19" s="9">
        <f>'Vstupy FA'!AB21</f>
        <v>5555309.048127383</v>
      </c>
      <c r="AA19" s="9">
        <f>'Vstupy FA'!AC21</f>
        <v>5555309.048127383</v>
      </c>
      <c r="AB19" s="9">
        <f>'Vstupy FA'!AD21</f>
        <v>5555309.048127383</v>
      </c>
      <c r="AC19" s="9">
        <f>'Vstupy FA'!AE21</f>
        <v>5555309.048127383</v>
      </c>
      <c r="AD19" s="9">
        <f>'Vstupy FA'!AF21</f>
        <v>5555309.048127383</v>
      </c>
      <c r="AE19" s="9">
        <f>'Vstupy FA'!AG21</f>
        <v>5555309.048127383</v>
      </c>
      <c r="AF19" s="9">
        <f>'Vstupy FA'!AH21</f>
        <v>5555309.048127383</v>
      </c>
      <c r="AG19" s="9">
        <f>'Vstupy FA'!AI21</f>
        <v>5555309.048127383</v>
      </c>
      <c r="AH19" s="9">
        <f>'Vstupy FA'!AJ21</f>
        <v>5555309.048127383</v>
      </c>
      <c r="AI19" s="9">
        <f>'Vstupy FA'!AK21</f>
        <v>5555309.048127383</v>
      </c>
      <c r="AJ19" s="9">
        <f>'Vstupy FA'!AL21</f>
        <v>5555309.048127383</v>
      </c>
      <c r="AK19" s="9">
        <f>'Vstupy FA'!AM21</f>
        <v>5555309.048127383</v>
      </c>
      <c r="AL19" s="9">
        <f>'Vstupy FA'!AN21</f>
        <v>5555309.048127383</v>
      </c>
      <c r="AM19" s="9">
        <f>'Vstupy FA'!AO21</f>
        <v>5555309.048127383</v>
      </c>
      <c r="AN19" s="9">
        <f>'Vstupy FA'!AP21</f>
        <v>5555309.048127383</v>
      </c>
      <c r="AO19" s="9">
        <f>'Vstupy FA'!AQ21</f>
        <v>5555309.048127383</v>
      </c>
      <c r="AP19" s="9">
        <f>'Vstupy FA'!AR21</f>
        <v>5555309.048127383</v>
      </c>
      <c r="AQ19" s="9">
        <f>'Vstupy FA'!AS21</f>
        <v>5555309.048127383</v>
      </c>
    </row>
    <row r="20" spans="2:43">
      <c r="B20" s="3" t="s">
        <v>42</v>
      </c>
      <c r="C20" s="8">
        <f t="shared" si="32"/>
        <v>10143403.419699199</v>
      </c>
      <c r="D20" s="9">
        <f>'Vstupy FA'!F22</f>
        <v>0</v>
      </c>
      <c r="E20" s="9">
        <f>'Vstupy FA'!G22</f>
        <v>0</v>
      </c>
      <c r="F20" s="9">
        <f>'Vstupy FA'!H22</f>
        <v>0</v>
      </c>
      <c r="G20" s="9">
        <f>'Vstupy FA'!I22</f>
        <v>0</v>
      </c>
      <c r="H20" s="9">
        <f>'Vstupy FA'!J22</f>
        <v>0</v>
      </c>
      <c r="I20" s="9">
        <f>'Vstupy FA'!K22</f>
        <v>0</v>
      </c>
      <c r="J20" s="9">
        <f>'Vstupy FA'!L22</f>
        <v>0</v>
      </c>
      <c r="K20" s="9">
        <f>'Vstupy FA'!M22</f>
        <v>0</v>
      </c>
      <c r="L20" s="9">
        <f>'Vstupy FA'!N22</f>
        <v>0</v>
      </c>
      <c r="M20" s="9">
        <f>'Vstupy FA'!O22</f>
        <v>0</v>
      </c>
      <c r="N20" s="9">
        <f>'Vstupy FA'!P22</f>
        <v>0</v>
      </c>
      <c r="O20" s="9">
        <f>'Vstupy FA'!Q22</f>
        <v>0</v>
      </c>
      <c r="P20" s="9">
        <f>'Vstupy FA'!R22</f>
        <v>0</v>
      </c>
      <c r="Q20" s="9">
        <f>'Vstupy FA'!S22</f>
        <v>0</v>
      </c>
      <c r="R20" s="9">
        <f>'Vstupy FA'!T22</f>
        <v>0</v>
      </c>
      <c r="S20" s="9">
        <f>'Vstupy FA'!U22</f>
        <v>0</v>
      </c>
      <c r="T20" s="9">
        <f>'Vstupy FA'!V22</f>
        <v>0</v>
      </c>
      <c r="U20" s="9">
        <f>'Vstupy FA'!W22</f>
        <v>0</v>
      </c>
      <c r="V20" s="9">
        <f>'Vstupy FA'!X22</f>
        <v>0</v>
      </c>
      <c r="W20" s="9">
        <f>'Vstupy FA'!Y22</f>
        <v>0</v>
      </c>
      <c r="X20" s="9">
        <f>'Vstupy FA'!Z22</f>
        <v>0</v>
      </c>
      <c r="Y20" s="9">
        <f>'Vstupy FA'!AA22</f>
        <v>0</v>
      </c>
      <c r="Z20" s="9">
        <f>'Vstupy FA'!AB22</f>
        <v>0</v>
      </c>
      <c r="AA20" s="9">
        <f>'Vstupy FA'!AC22</f>
        <v>6974037.8754613642</v>
      </c>
      <c r="AB20" s="9">
        <f>'Vstupy FA'!AD22</f>
        <v>0</v>
      </c>
      <c r="AC20" s="9">
        <f>'Vstupy FA'!AE22</f>
        <v>0</v>
      </c>
      <c r="AD20" s="9">
        <f>'Vstupy FA'!AF22</f>
        <v>0</v>
      </c>
      <c r="AE20" s="9">
        <f>'Vstupy FA'!AG22</f>
        <v>0</v>
      </c>
      <c r="AF20" s="9">
        <f>'Vstupy FA'!AH22</f>
        <v>0</v>
      </c>
      <c r="AG20" s="9">
        <f>'Vstupy FA'!AI22</f>
        <v>0</v>
      </c>
      <c r="AH20" s="9">
        <f>'Vstupy FA'!AJ22</f>
        <v>0</v>
      </c>
      <c r="AI20" s="9">
        <f>'Vstupy FA'!AK22</f>
        <v>0</v>
      </c>
      <c r="AJ20" s="9">
        <f>'Vstupy FA'!AL22</f>
        <v>0</v>
      </c>
      <c r="AK20" s="9">
        <f>'Vstupy FA'!AM22</f>
        <v>3169365.5442378358</v>
      </c>
      <c r="AL20" s="9">
        <f>'Vstupy FA'!AN22</f>
        <v>0</v>
      </c>
      <c r="AM20" s="9">
        <f>'Vstupy FA'!AO22</f>
        <v>0</v>
      </c>
      <c r="AN20" s="9">
        <f>'Vstupy FA'!AP22</f>
        <v>0</v>
      </c>
      <c r="AO20" s="9">
        <f>'Vstupy FA'!AQ22</f>
        <v>0</v>
      </c>
      <c r="AP20" s="9">
        <f>'Vstupy FA'!AR22</f>
        <v>0</v>
      </c>
      <c r="AQ20" s="9">
        <f>'Vstupy FA'!AS22</f>
        <v>0</v>
      </c>
    </row>
    <row r="21" spans="2:43">
      <c r="B21" s="3" t="s">
        <v>586</v>
      </c>
      <c r="C21" s="8">
        <f t="shared" si="32"/>
        <v>5674017.2698353101</v>
      </c>
      <c r="D21" s="9">
        <f>'Vstupy FA'!F23</f>
        <v>141850.43174588273</v>
      </c>
      <c r="E21" s="9">
        <f>'Vstupy FA'!G23</f>
        <v>141850.43174588273</v>
      </c>
      <c r="F21" s="9">
        <f>'Vstupy FA'!H23</f>
        <v>141850.43174588273</v>
      </c>
      <c r="G21" s="9">
        <f>'Vstupy FA'!I23</f>
        <v>141850.43174588273</v>
      </c>
      <c r="H21" s="9">
        <f>'Vstupy FA'!J23</f>
        <v>141850.43174588273</v>
      </c>
      <c r="I21" s="9">
        <f>'Vstupy FA'!K23</f>
        <v>141850.43174588273</v>
      </c>
      <c r="J21" s="9">
        <f>'Vstupy FA'!L23</f>
        <v>141850.43174588273</v>
      </c>
      <c r="K21" s="9">
        <f>'Vstupy FA'!M23</f>
        <v>141850.43174588273</v>
      </c>
      <c r="L21" s="9">
        <f>'Vstupy FA'!N23</f>
        <v>141850.43174588273</v>
      </c>
      <c r="M21" s="9">
        <f>'Vstupy FA'!O23</f>
        <v>141850.43174588273</v>
      </c>
      <c r="N21" s="9">
        <f>'Vstupy FA'!P23</f>
        <v>141850.43174588273</v>
      </c>
      <c r="O21" s="9">
        <f>'Vstupy FA'!Q23</f>
        <v>141850.43174588273</v>
      </c>
      <c r="P21" s="9">
        <f>'Vstupy FA'!R23</f>
        <v>141850.43174588273</v>
      </c>
      <c r="Q21" s="9">
        <f>'Vstupy FA'!S23</f>
        <v>141850.43174588273</v>
      </c>
      <c r="R21" s="9">
        <f>'Vstupy FA'!T23</f>
        <v>141850.43174588273</v>
      </c>
      <c r="S21" s="9">
        <f>'Vstupy FA'!U23</f>
        <v>141850.43174588273</v>
      </c>
      <c r="T21" s="9">
        <f>'Vstupy FA'!V23</f>
        <v>141850.43174588273</v>
      </c>
      <c r="U21" s="9">
        <f>'Vstupy FA'!W23</f>
        <v>141850.43174588273</v>
      </c>
      <c r="V21" s="9">
        <f>'Vstupy FA'!X23</f>
        <v>141850.43174588273</v>
      </c>
      <c r="W21" s="9">
        <f>'Vstupy FA'!Y23</f>
        <v>141850.43174588273</v>
      </c>
      <c r="X21" s="9">
        <f>'Vstupy FA'!Z23</f>
        <v>141850.43174588273</v>
      </c>
      <c r="Y21" s="9">
        <f>'Vstupy FA'!AA23</f>
        <v>141850.43174588273</v>
      </c>
      <c r="Z21" s="9">
        <f>'Vstupy FA'!AB23</f>
        <v>141850.43174588273</v>
      </c>
      <c r="AA21" s="9">
        <f>'Vstupy FA'!AC23</f>
        <v>141850.43174588273</v>
      </c>
      <c r="AB21" s="9">
        <f>'Vstupy FA'!AD23</f>
        <v>141850.43174588273</v>
      </c>
      <c r="AC21" s="9">
        <f>'Vstupy FA'!AE23</f>
        <v>141850.43174588273</v>
      </c>
      <c r="AD21" s="9">
        <f>'Vstupy FA'!AF23</f>
        <v>141850.43174588273</v>
      </c>
      <c r="AE21" s="9">
        <f>'Vstupy FA'!AG23</f>
        <v>141850.43174588273</v>
      </c>
      <c r="AF21" s="9">
        <f>'Vstupy FA'!AH23</f>
        <v>141850.43174588273</v>
      </c>
      <c r="AG21" s="9">
        <f>'Vstupy FA'!AI23</f>
        <v>141850.43174588273</v>
      </c>
      <c r="AH21" s="9">
        <f>'Vstupy FA'!AJ23</f>
        <v>141850.43174588273</v>
      </c>
      <c r="AI21" s="9">
        <f>'Vstupy FA'!AK23</f>
        <v>141850.43174588273</v>
      </c>
      <c r="AJ21" s="9">
        <f>'Vstupy FA'!AL23</f>
        <v>141850.43174588273</v>
      </c>
      <c r="AK21" s="9">
        <f>'Vstupy FA'!AM23</f>
        <v>141850.43174588273</v>
      </c>
      <c r="AL21" s="9">
        <f>'Vstupy FA'!AN23</f>
        <v>141850.43174588273</v>
      </c>
      <c r="AM21" s="9">
        <f>'Vstupy FA'!AO23</f>
        <v>141850.43174588273</v>
      </c>
      <c r="AN21" s="9">
        <f>'Vstupy FA'!AP23</f>
        <v>141850.43174588273</v>
      </c>
      <c r="AO21" s="9">
        <f>'Vstupy FA'!AQ23</f>
        <v>141850.43174588273</v>
      </c>
      <c r="AP21" s="9">
        <f>'Vstupy FA'!AR23</f>
        <v>141850.43174588273</v>
      </c>
      <c r="AQ21" s="9">
        <f>'Vstupy FA'!AS23</f>
        <v>141850.43174588273</v>
      </c>
    </row>
    <row r="22" spans="2:43">
      <c r="B22" s="4" t="s">
        <v>478</v>
      </c>
      <c r="C22" s="13">
        <f t="shared" si="32"/>
        <v>238947540.88984948</v>
      </c>
      <c r="D22" s="13">
        <f>SUM(D19:D21)</f>
        <v>5954192.8754243795</v>
      </c>
      <c r="E22" s="13">
        <f t="shared" ref="E22:AE22" si="33">SUM(E19:E21)</f>
        <v>5954192.8754243795</v>
      </c>
      <c r="F22" s="13">
        <f t="shared" si="33"/>
        <v>5954192.8754243795</v>
      </c>
      <c r="G22" s="13">
        <f t="shared" si="33"/>
        <v>5843817.5684394697</v>
      </c>
      <c r="H22" s="13">
        <f t="shared" si="33"/>
        <v>5697159.4798732661</v>
      </c>
      <c r="I22" s="13">
        <f t="shared" si="33"/>
        <v>5697159.4798732661</v>
      </c>
      <c r="J22" s="13">
        <f t="shared" si="33"/>
        <v>5697159.4798732661</v>
      </c>
      <c r="K22" s="13">
        <f t="shared" si="33"/>
        <v>5697159.4798732661</v>
      </c>
      <c r="L22" s="13">
        <f t="shared" si="33"/>
        <v>5697159.4798732661</v>
      </c>
      <c r="M22" s="13">
        <f t="shared" si="33"/>
        <v>5697159.4798732661</v>
      </c>
      <c r="N22" s="13">
        <f t="shared" si="33"/>
        <v>5697159.4798732661</v>
      </c>
      <c r="O22" s="13">
        <f t="shared" si="33"/>
        <v>5697159.4798732661</v>
      </c>
      <c r="P22" s="13">
        <f t="shared" si="33"/>
        <v>5697159.4798732661</v>
      </c>
      <c r="Q22" s="13">
        <f t="shared" si="33"/>
        <v>5697159.4798732661</v>
      </c>
      <c r="R22" s="13">
        <f t="shared" si="33"/>
        <v>5697159.4798732661</v>
      </c>
      <c r="S22" s="13">
        <f t="shared" si="33"/>
        <v>5697159.4798732661</v>
      </c>
      <c r="T22" s="13">
        <f t="shared" si="33"/>
        <v>5697159.4798732661</v>
      </c>
      <c r="U22" s="13">
        <f t="shared" si="33"/>
        <v>5697159.4798732661</v>
      </c>
      <c r="V22" s="13">
        <f t="shared" si="33"/>
        <v>5697159.4798732661</v>
      </c>
      <c r="W22" s="13">
        <f t="shared" si="33"/>
        <v>5697159.4798732661</v>
      </c>
      <c r="X22" s="13">
        <f t="shared" si="33"/>
        <v>5697159.4798732661</v>
      </c>
      <c r="Y22" s="13">
        <f t="shared" si="33"/>
        <v>5697159.4798732661</v>
      </c>
      <c r="Z22" s="13">
        <f t="shared" si="33"/>
        <v>5697159.4798732661</v>
      </c>
      <c r="AA22" s="13">
        <f t="shared" si="33"/>
        <v>12671197.35533463</v>
      </c>
      <c r="AB22" s="13">
        <f t="shared" si="33"/>
        <v>5697159.4798732661</v>
      </c>
      <c r="AC22" s="13">
        <f t="shared" si="33"/>
        <v>5697159.4798732661</v>
      </c>
      <c r="AD22" s="13">
        <f t="shared" si="33"/>
        <v>5697159.4798732661</v>
      </c>
      <c r="AE22" s="13">
        <f t="shared" si="33"/>
        <v>5697159.4798732661</v>
      </c>
      <c r="AF22" s="13">
        <f>SUM(AF19:AF21)</f>
        <v>5697159.4798732661</v>
      </c>
      <c r="AG22" s="13">
        <f t="shared" ref="AG22:AQ22" si="34">SUM(AG19:AG21)</f>
        <v>5697159.4798732661</v>
      </c>
      <c r="AH22" s="13">
        <f t="shared" si="34"/>
        <v>5697159.4798732661</v>
      </c>
      <c r="AI22" s="13">
        <f t="shared" si="34"/>
        <v>5697159.4798732661</v>
      </c>
      <c r="AJ22" s="13">
        <f t="shared" si="34"/>
        <v>5697159.4798732661</v>
      </c>
      <c r="AK22" s="13">
        <f t="shared" si="34"/>
        <v>8866525.0241111014</v>
      </c>
      <c r="AL22" s="13">
        <f t="shared" si="34"/>
        <v>5697159.4798732661</v>
      </c>
      <c r="AM22" s="13">
        <f t="shared" si="34"/>
        <v>5697159.4798732661</v>
      </c>
      <c r="AN22" s="13">
        <f t="shared" si="34"/>
        <v>5697159.4798732661</v>
      </c>
      <c r="AO22" s="13">
        <f t="shared" si="34"/>
        <v>5697159.4798732661</v>
      </c>
      <c r="AP22" s="13">
        <f t="shared" si="34"/>
        <v>5697159.4798732661</v>
      </c>
      <c r="AQ22" s="13">
        <f t="shared" si="34"/>
        <v>5697159.4798732661</v>
      </c>
    </row>
    <row r="23" spans="2:43">
      <c r="B23" s="3" t="s">
        <v>587</v>
      </c>
      <c r="C23" s="8">
        <f t="shared" si="32"/>
        <v>112708530.85961759</v>
      </c>
      <c r="D23" s="9">
        <f>'Vstupy FA'!F25</f>
        <v>4324433.0812059082</v>
      </c>
      <c r="E23" s="9">
        <f>'Vstupy FA'!G25</f>
        <v>4324433.0812059082</v>
      </c>
      <c r="F23" s="9">
        <f>'Vstupy FA'!H25</f>
        <v>4324433.0812059082</v>
      </c>
      <c r="G23" s="9">
        <f>'Vstupy FA'!I25</f>
        <v>3878030.7779405904</v>
      </c>
      <c r="H23" s="9">
        <f>'Vstupy FA'!J25</f>
        <v>2662700.023279421</v>
      </c>
      <c r="I23" s="9">
        <f>'Vstupy FA'!K25</f>
        <v>2662700.023279421</v>
      </c>
      <c r="J23" s="9">
        <f>'Vstupy FA'!L25</f>
        <v>2662700.023279421</v>
      </c>
      <c r="K23" s="9">
        <f>'Vstupy FA'!M25</f>
        <v>2662700.023279421</v>
      </c>
      <c r="L23" s="9">
        <f>'Vstupy FA'!N25</f>
        <v>2662700.023279421</v>
      </c>
      <c r="M23" s="9">
        <f>'Vstupy FA'!O25</f>
        <v>2662700.023279421</v>
      </c>
      <c r="N23" s="9">
        <f>'Vstupy FA'!P25</f>
        <v>2662700.023279421</v>
      </c>
      <c r="O23" s="9">
        <f>'Vstupy FA'!Q25</f>
        <v>2662700.023279421</v>
      </c>
      <c r="P23" s="9">
        <f>'Vstupy FA'!R25</f>
        <v>2662700.023279421</v>
      </c>
      <c r="Q23" s="9">
        <f>'Vstupy FA'!S25</f>
        <v>2662700.023279421</v>
      </c>
      <c r="R23" s="9">
        <f>'Vstupy FA'!T25</f>
        <v>2662700.023279421</v>
      </c>
      <c r="S23" s="9">
        <f>'Vstupy FA'!U25</f>
        <v>2662700.023279421</v>
      </c>
      <c r="T23" s="9">
        <f>'Vstupy FA'!V25</f>
        <v>2662700.023279421</v>
      </c>
      <c r="U23" s="9">
        <f>'Vstupy FA'!W25</f>
        <v>2662700.023279421</v>
      </c>
      <c r="V23" s="9">
        <f>'Vstupy FA'!X25</f>
        <v>2662700.023279421</v>
      </c>
      <c r="W23" s="9">
        <f>'Vstupy FA'!Y25</f>
        <v>2662700.023279421</v>
      </c>
      <c r="X23" s="9">
        <f>'Vstupy FA'!Z25</f>
        <v>2662700.023279421</v>
      </c>
      <c r="Y23" s="9">
        <f>'Vstupy FA'!AA25</f>
        <v>2662700.023279421</v>
      </c>
      <c r="Z23" s="9">
        <f>'Vstupy FA'!AB25</f>
        <v>2662700.023279421</v>
      </c>
      <c r="AA23" s="9">
        <f>'Vstupy FA'!AC25</f>
        <v>2662700.023279421</v>
      </c>
      <c r="AB23" s="9">
        <f>'Vstupy FA'!AD25</f>
        <v>2662700.023279421</v>
      </c>
      <c r="AC23" s="9">
        <f>'Vstupy FA'!AE25</f>
        <v>2662700.023279421</v>
      </c>
      <c r="AD23" s="9">
        <f>'Vstupy FA'!AF25</f>
        <v>2662700.023279421</v>
      </c>
      <c r="AE23" s="9">
        <f>'Vstupy FA'!AG25</f>
        <v>2662700.023279421</v>
      </c>
      <c r="AF23" s="9">
        <f>'Vstupy FA'!AH25</f>
        <v>2662700.023279421</v>
      </c>
      <c r="AG23" s="9">
        <f>'Vstupy FA'!AI25</f>
        <v>2662700.023279421</v>
      </c>
      <c r="AH23" s="9">
        <f>'Vstupy FA'!AJ25</f>
        <v>2662700.023279421</v>
      </c>
      <c r="AI23" s="9">
        <f>'Vstupy FA'!AK25</f>
        <v>2662700.023279421</v>
      </c>
      <c r="AJ23" s="9">
        <f>'Vstupy FA'!AL25</f>
        <v>2662700.023279421</v>
      </c>
      <c r="AK23" s="9">
        <f>'Vstupy FA'!AM25</f>
        <v>2662700.023279421</v>
      </c>
      <c r="AL23" s="9">
        <f>'Vstupy FA'!AN25</f>
        <v>2662700.023279421</v>
      </c>
      <c r="AM23" s="9">
        <f>'Vstupy FA'!AO25</f>
        <v>2662700.023279421</v>
      </c>
      <c r="AN23" s="9">
        <f>'Vstupy FA'!AP25</f>
        <v>2662700.023279421</v>
      </c>
      <c r="AO23" s="9">
        <f>'Vstupy FA'!AQ25</f>
        <v>2662700.023279421</v>
      </c>
      <c r="AP23" s="9">
        <f>'Vstupy FA'!AR25</f>
        <v>2662700.023279421</v>
      </c>
      <c r="AQ23" s="9">
        <f>'Vstupy FA'!AS25</f>
        <v>2662700.023279421</v>
      </c>
    </row>
    <row r="24" spans="2:43" ht="12" thickBot="1">
      <c r="B24" s="21" t="s">
        <v>69</v>
      </c>
      <c r="C24" s="22">
        <f t="shared" si="32"/>
        <v>112708530.85961759</v>
      </c>
      <c r="D24" s="22">
        <f t="shared" ref="D24:AF24" si="35">SUM(D23:D23)</f>
        <v>4324433.0812059082</v>
      </c>
      <c r="E24" s="22">
        <f t="shared" si="35"/>
        <v>4324433.0812059082</v>
      </c>
      <c r="F24" s="22">
        <f t="shared" si="35"/>
        <v>4324433.0812059082</v>
      </c>
      <c r="G24" s="22">
        <f t="shared" si="35"/>
        <v>3878030.7779405904</v>
      </c>
      <c r="H24" s="22">
        <f t="shared" si="35"/>
        <v>2662700.023279421</v>
      </c>
      <c r="I24" s="22">
        <f t="shared" si="35"/>
        <v>2662700.023279421</v>
      </c>
      <c r="J24" s="22">
        <f t="shared" si="35"/>
        <v>2662700.023279421</v>
      </c>
      <c r="K24" s="22">
        <f t="shared" si="35"/>
        <v>2662700.023279421</v>
      </c>
      <c r="L24" s="22">
        <f t="shared" si="35"/>
        <v>2662700.023279421</v>
      </c>
      <c r="M24" s="22">
        <f t="shared" si="35"/>
        <v>2662700.023279421</v>
      </c>
      <c r="N24" s="22">
        <f t="shared" si="35"/>
        <v>2662700.023279421</v>
      </c>
      <c r="O24" s="22">
        <f t="shared" si="35"/>
        <v>2662700.023279421</v>
      </c>
      <c r="P24" s="22">
        <f t="shared" si="35"/>
        <v>2662700.023279421</v>
      </c>
      <c r="Q24" s="22">
        <f t="shared" si="35"/>
        <v>2662700.023279421</v>
      </c>
      <c r="R24" s="22">
        <f t="shared" si="35"/>
        <v>2662700.023279421</v>
      </c>
      <c r="S24" s="22">
        <f t="shared" si="35"/>
        <v>2662700.023279421</v>
      </c>
      <c r="T24" s="22">
        <f t="shared" si="35"/>
        <v>2662700.023279421</v>
      </c>
      <c r="U24" s="22">
        <f t="shared" si="35"/>
        <v>2662700.023279421</v>
      </c>
      <c r="V24" s="22">
        <f t="shared" si="35"/>
        <v>2662700.023279421</v>
      </c>
      <c r="W24" s="22">
        <f t="shared" si="35"/>
        <v>2662700.023279421</v>
      </c>
      <c r="X24" s="22">
        <f t="shared" si="35"/>
        <v>2662700.023279421</v>
      </c>
      <c r="Y24" s="22">
        <f t="shared" si="35"/>
        <v>2662700.023279421</v>
      </c>
      <c r="Z24" s="22">
        <f t="shared" si="35"/>
        <v>2662700.023279421</v>
      </c>
      <c r="AA24" s="22">
        <f t="shared" si="35"/>
        <v>2662700.023279421</v>
      </c>
      <c r="AB24" s="22">
        <f t="shared" si="35"/>
        <v>2662700.023279421</v>
      </c>
      <c r="AC24" s="22">
        <f t="shared" si="35"/>
        <v>2662700.023279421</v>
      </c>
      <c r="AD24" s="22">
        <f t="shared" si="35"/>
        <v>2662700.023279421</v>
      </c>
      <c r="AE24" s="22">
        <f t="shared" si="35"/>
        <v>2662700.023279421</v>
      </c>
      <c r="AF24" s="22">
        <f t="shared" si="35"/>
        <v>2662700.023279421</v>
      </c>
      <c r="AG24" s="22">
        <f t="shared" ref="AG24:AQ24" si="36">SUM(AG23:AG23)</f>
        <v>2662700.023279421</v>
      </c>
      <c r="AH24" s="22">
        <f t="shared" si="36"/>
        <v>2662700.023279421</v>
      </c>
      <c r="AI24" s="22">
        <f t="shared" si="36"/>
        <v>2662700.023279421</v>
      </c>
      <c r="AJ24" s="22">
        <f t="shared" si="36"/>
        <v>2662700.023279421</v>
      </c>
      <c r="AK24" s="22">
        <f t="shared" si="36"/>
        <v>2662700.023279421</v>
      </c>
      <c r="AL24" s="22">
        <f t="shared" si="36"/>
        <v>2662700.023279421</v>
      </c>
      <c r="AM24" s="22">
        <f t="shared" si="36"/>
        <v>2662700.023279421</v>
      </c>
      <c r="AN24" s="22">
        <f t="shared" si="36"/>
        <v>2662700.023279421</v>
      </c>
      <c r="AO24" s="22">
        <f t="shared" si="36"/>
        <v>2662700.023279421</v>
      </c>
      <c r="AP24" s="22">
        <f t="shared" si="36"/>
        <v>2662700.023279421</v>
      </c>
      <c r="AQ24" s="22">
        <f t="shared" si="36"/>
        <v>2662700.023279421</v>
      </c>
    </row>
    <row r="25" spans="2:43" ht="12" thickTop="1">
      <c r="B25" s="23" t="s">
        <v>68</v>
      </c>
      <c r="C25" s="24">
        <f t="shared" si="32"/>
        <v>351656071.74946678</v>
      </c>
      <c r="D25" s="24">
        <f t="shared" ref="D25:AF25" si="37">SUM(D22,D24)</f>
        <v>10278625.956630288</v>
      </c>
      <c r="E25" s="24">
        <f t="shared" si="37"/>
        <v>10278625.956630288</v>
      </c>
      <c r="F25" s="24">
        <f t="shared" si="37"/>
        <v>10278625.956630288</v>
      </c>
      <c r="G25" s="24">
        <f t="shared" si="37"/>
        <v>9721848.3463800605</v>
      </c>
      <c r="H25" s="24">
        <f t="shared" si="37"/>
        <v>8359859.5031526871</v>
      </c>
      <c r="I25" s="24">
        <f t="shared" si="37"/>
        <v>8359859.5031526871</v>
      </c>
      <c r="J25" s="24">
        <f t="shared" si="37"/>
        <v>8359859.5031526871</v>
      </c>
      <c r="K25" s="24">
        <f t="shared" si="37"/>
        <v>8359859.5031526871</v>
      </c>
      <c r="L25" s="24">
        <f t="shared" si="37"/>
        <v>8359859.5031526871</v>
      </c>
      <c r="M25" s="24">
        <f t="shared" si="37"/>
        <v>8359859.5031526871</v>
      </c>
      <c r="N25" s="24">
        <f t="shared" si="37"/>
        <v>8359859.5031526871</v>
      </c>
      <c r="O25" s="24">
        <f t="shared" si="37"/>
        <v>8359859.5031526871</v>
      </c>
      <c r="P25" s="24">
        <f t="shared" si="37"/>
        <v>8359859.5031526871</v>
      </c>
      <c r="Q25" s="24">
        <f t="shared" si="37"/>
        <v>8359859.5031526871</v>
      </c>
      <c r="R25" s="24">
        <f t="shared" si="37"/>
        <v>8359859.5031526871</v>
      </c>
      <c r="S25" s="24">
        <f t="shared" si="37"/>
        <v>8359859.5031526871</v>
      </c>
      <c r="T25" s="24">
        <f t="shared" si="37"/>
        <v>8359859.5031526871</v>
      </c>
      <c r="U25" s="24">
        <f t="shared" si="37"/>
        <v>8359859.5031526871</v>
      </c>
      <c r="V25" s="24">
        <f t="shared" si="37"/>
        <v>8359859.5031526871</v>
      </c>
      <c r="W25" s="24">
        <f t="shared" si="37"/>
        <v>8359859.5031526871</v>
      </c>
      <c r="X25" s="24">
        <f t="shared" si="37"/>
        <v>8359859.5031526871</v>
      </c>
      <c r="Y25" s="24">
        <f t="shared" si="37"/>
        <v>8359859.5031526871</v>
      </c>
      <c r="Z25" s="24">
        <f t="shared" si="37"/>
        <v>8359859.5031526871</v>
      </c>
      <c r="AA25" s="24">
        <f t="shared" si="37"/>
        <v>15333897.378614051</v>
      </c>
      <c r="AB25" s="24">
        <f t="shared" si="37"/>
        <v>8359859.5031526871</v>
      </c>
      <c r="AC25" s="24">
        <f t="shared" si="37"/>
        <v>8359859.5031526871</v>
      </c>
      <c r="AD25" s="24">
        <f t="shared" si="37"/>
        <v>8359859.5031526871</v>
      </c>
      <c r="AE25" s="24">
        <f t="shared" si="37"/>
        <v>8359859.5031526871</v>
      </c>
      <c r="AF25" s="24">
        <f t="shared" si="37"/>
        <v>8359859.5031526871</v>
      </c>
      <c r="AG25" s="24">
        <f t="shared" ref="AG25:AQ25" si="38">SUM(AG22,AG24)</f>
        <v>8359859.5031526871</v>
      </c>
      <c r="AH25" s="24">
        <f t="shared" si="38"/>
        <v>8359859.5031526871</v>
      </c>
      <c r="AI25" s="24">
        <f t="shared" si="38"/>
        <v>8359859.5031526871</v>
      </c>
      <c r="AJ25" s="24">
        <f t="shared" si="38"/>
        <v>8359859.5031526871</v>
      </c>
      <c r="AK25" s="24">
        <f t="shared" si="38"/>
        <v>11529225.047390522</v>
      </c>
      <c r="AL25" s="24">
        <f t="shared" si="38"/>
        <v>8359859.5031526871</v>
      </c>
      <c r="AM25" s="24">
        <f t="shared" si="38"/>
        <v>8359859.5031526871</v>
      </c>
      <c r="AN25" s="24">
        <f t="shared" si="38"/>
        <v>8359859.5031526871</v>
      </c>
      <c r="AO25" s="24">
        <f t="shared" si="38"/>
        <v>8359859.5031526871</v>
      </c>
      <c r="AP25" s="24">
        <f t="shared" si="38"/>
        <v>8359859.5031526871</v>
      </c>
      <c r="AQ25" s="24">
        <f t="shared" si="38"/>
        <v>8359859.5031526871</v>
      </c>
    </row>
    <row r="28" spans="2:43">
      <c r="C28" s="3"/>
      <c r="D28" s="3" t="s">
        <v>9</v>
      </c>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row>
    <row r="29" spans="2:43">
      <c r="B29" s="4" t="s">
        <v>72</v>
      </c>
      <c r="C29" s="4"/>
      <c r="D29" s="3">
        <v>1</v>
      </c>
      <c r="E29" s="3">
        <v>2</v>
      </c>
      <c r="F29" s="3">
        <v>3</v>
      </c>
      <c r="G29" s="3">
        <v>4</v>
      </c>
      <c r="H29" s="3">
        <v>5</v>
      </c>
      <c r="I29" s="3">
        <v>6</v>
      </c>
      <c r="J29" s="3">
        <v>7</v>
      </c>
      <c r="K29" s="3">
        <v>8</v>
      </c>
      <c r="L29" s="3">
        <v>9</v>
      </c>
      <c r="M29" s="3">
        <v>10</v>
      </c>
      <c r="N29" s="3">
        <v>11</v>
      </c>
      <c r="O29" s="3">
        <v>12</v>
      </c>
      <c r="P29" s="3">
        <v>13</v>
      </c>
      <c r="Q29" s="3">
        <v>14</v>
      </c>
      <c r="R29" s="3">
        <v>15</v>
      </c>
      <c r="S29" s="3">
        <v>16</v>
      </c>
      <c r="T29" s="3">
        <v>17</v>
      </c>
      <c r="U29" s="3">
        <v>18</v>
      </c>
      <c r="V29" s="3">
        <v>19</v>
      </c>
      <c r="W29" s="3">
        <v>20</v>
      </c>
      <c r="X29" s="3">
        <v>21</v>
      </c>
      <c r="Y29" s="3">
        <v>22</v>
      </c>
      <c r="Z29" s="3">
        <v>23</v>
      </c>
      <c r="AA29" s="3">
        <v>24</v>
      </c>
      <c r="AB29" s="3">
        <v>25</v>
      </c>
      <c r="AC29" s="3">
        <v>26</v>
      </c>
      <c r="AD29" s="3">
        <v>27</v>
      </c>
      <c r="AE29" s="3">
        <v>28</v>
      </c>
      <c r="AF29" s="3">
        <f>AF5</f>
        <v>29</v>
      </c>
      <c r="AG29" s="3">
        <f t="shared" ref="AG29:AQ29" si="39">AG5</f>
        <v>30</v>
      </c>
      <c r="AH29" s="3">
        <f t="shared" si="39"/>
        <v>31</v>
      </c>
      <c r="AI29" s="3">
        <f t="shared" si="39"/>
        <v>32</v>
      </c>
      <c r="AJ29" s="3">
        <f t="shared" si="39"/>
        <v>33</v>
      </c>
      <c r="AK29" s="3">
        <f t="shared" si="39"/>
        <v>34</v>
      </c>
      <c r="AL29" s="3">
        <f t="shared" si="39"/>
        <v>35</v>
      </c>
      <c r="AM29" s="3">
        <f t="shared" si="39"/>
        <v>36</v>
      </c>
      <c r="AN29" s="3">
        <f t="shared" si="39"/>
        <v>37</v>
      </c>
      <c r="AO29" s="3">
        <f t="shared" si="39"/>
        <v>38</v>
      </c>
      <c r="AP29" s="3">
        <f t="shared" si="39"/>
        <v>39</v>
      </c>
      <c r="AQ29" s="3">
        <f t="shared" si="39"/>
        <v>40</v>
      </c>
    </row>
    <row r="30" spans="2:43">
      <c r="B30" s="198" t="s">
        <v>54</v>
      </c>
      <c r="C30" s="198" t="s">
        <v>8</v>
      </c>
      <c r="D30" s="141">
        <f t="shared" ref="D30:AF30" si="40">D6</f>
        <v>2024</v>
      </c>
      <c r="E30" s="141">
        <f t="shared" si="40"/>
        <v>2025</v>
      </c>
      <c r="F30" s="141">
        <f t="shared" si="40"/>
        <v>2026</v>
      </c>
      <c r="G30" s="141">
        <f t="shared" si="40"/>
        <v>2027</v>
      </c>
      <c r="H30" s="141">
        <f t="shared" si="40"/>
        <v>2028</v>
      </c>
      <c r="I30" s="141">
        <f t="shared" si="40"/>
        <v>2029</v>
      </c>
      <c r="J30" s="141">
        <f t="shared" si="40"/>
        <v>2030</v>
      </c>
      <c r="K30" s="141">
        <f t="shared" si="40"/>
        <v>2031</v>
      </c>
      <c r="L30" s="141">
        <f t="shared" si="40"/>
        <v>2032</v>
      </c>
      <c r="M30" s="141">
        <f t="shared" si="40"/>
        <v>2033</v>
      </c>
      <c r="N30" s="141">
        <f t="shared" si="40"/>
        <v>2034</v>
      </c>
      <c r="O30" s="141">
        <f t="shared" si="40"/>
        <v>2035</v>
      </c>
      <c r="P30" s="141">
        <f t="shared" si="40"/>
        <v>2036</v>
      </c>
      <c r="Q30" s="141">
        <f t="shared" si="40"/>
        <v>2037</v>
      </c>
      <c r="R30" s="141">
        <f t="shared" si="40"/>
        <v>2038</v>
      </c>
      <c r="S30" s="141">
        <f t="shared" si="40"/>
        <v>2039</v>
      </c>
      <c r="T30" s="141">
        <f t="shared" si="40"/>
        <v>2040</v>
      </c>
      <c r="U30" s="141">
        <f t="shared" si="40"/>
        <v>2041</v>
      </c>
      <c r="V30" s="141">
        <f t="shared" si="40"/>
        <v>2042</v>
      </c>
      <c r="W30" s="141">
        <f t="shared" si="40"/>
        <v>2043</v>
      </c>
      <c r="X30" s="141">
        <f t="shared" si="40"/>
        <v>2044</v>
      </c>
      <c r="Y30" s="141">
        <f t="shared" si="40"/>
        <v>2045</v>
      </c>
      <c r="Z30" s="141">
        <f t="shared" si="40"/>
        <v>2046</v>
      </c>
      <c r="AA30" s="141">
        <f t="shared" si="40"/>
        <v>2047</v>
      </c>
      <c r="AB30" s="141">
        <f t="shared" si="40"/>
        <v>2048</v>
      </c>
      <c r="AC30" s="141">
        <f t="shared" si="40"/>
        <v>2049</v>
      </c>
      <c r="AD30" s="141">
        <f t="shared" si="40"/>
        <v>2050</v>
      </c>
      <c r="AE30" s="141">
        <f t="shared" si="40"/>
        <v>2051</v>
      </c>
      <c r="AF30" s="141">
        <f t="shared" si="40"/>
        <v>2052</v>
      </c>
      <c r="AG30" s="141">
        <f t="shared" ref="AG30:AQ30" si="41">AG6</f>
        <v>2053</v>
      </c>
      <c r="AH30" s="141">
        <f t="shared" si="41"/>
        <v>2054</v>
      </c>
      <c r="AI30" s="141">
        <f t="shared" si="41"/>
        <v>2055</v>
      </c>
      <c r="AJ30" s="141">
        <f t="shared" si="41"/>
        <v>2056</v>
      </c>
      <c r="AK30" s="141">
        <f t="shared" si="41"/>
        <v>2057</v>
      </c>
      <c r="AL30" s="141">
        <f t="shared" si="41"/>
        <v>2058</v>
      </c>
      <c r="AM30" s="141">
        <f t="shared" si="41"/>
        <v>2059</v>
      </c>
      <c r="AN30" s="141">
        <f t="shared" si="41"/>
        <v>2060</v>
      </c>
      <c r="AO30" s="141">
        <f t="shared" si="41"/>
        <v>2061</v>
      </c>
      <c r="AP30" s="141">
        <f t="shared" si="41"/>
        <v>2062</v>
      </c>
      <c r="AQ30" s="141">
        <f t="shared" si="41"/>
        <v>2063</v>
      </c>
    </row>
    <row r="31" spans="2:43">
      <c r="B31" s="3" t="s">
        <v>73</v>
      </c>
      <c r="C31" s="8">
        <f t="shared" ref="C31:C37" si="42">SUM(D31:AQ31)</f>
        <v>-9363577.5468249936</v>
      </c>
      <c r="D31" s="8">
        <f t="shared" ref="D31:AF31" si="43">D19-D7</f>
        <v>0</v>
      </c>
      <c r="E31" s="8">
        <f t="shared" si="43"/>
        <v>0</v>
      </c>
      <c r="F31" s="8">
        <f t="shared" si="43"/>
        <v>0</v>
      </c>
      <c r="G31" s="8">
        <f t="shared" si="43"/>
        <v>-110375.30698490981</v>
      </c>
      <c r="H31" s="8">
        <f t="shared" si="43"/>
        <v>-257033.39555111341</v>
      </c>
      <c r="I31" s="8">
        <f t="shared" si="43"/>
        <v>-257033.39555111341</v>
      </c>
      <c r="J31" s="8">
        <f t="shared" si="43"/>
        <v>-257033.39555111341</v>
      </c>
      <c r="K31" s="8">
        <f t="shared" si="43"/>
        <v>-257033.39555111341</v>
      </c>
      <c r="L31" s="8">
        <f t="shared" si="43"/>
        <v>-257033.39555111341</v>
      </c>
      <c r="M31" s="8">
        <f t="shared" si="43"/>
        <v>-257033.39555111341</v>
      </c>
      <c r="N31" s="8">
        <f t="shared" si="43"/>
        <v>-257033.39555111341</v>
      </c>
      <c r="O31" s="8">
        <f t="shared" si="43"/>
        <v>-257033.39555111341</v>
      </c>
      <c r="P31" s="8">
        <f t="shared" si="43"/>
        <v>-257033.39555111341</v>
      </c>
      <c r="Q31" s="8">
        <f t="shared" si="43"/>
        <v>-257033.39555111341</v>
      </c>
      <c r="R31" s="8">
        <f t="shared" si="43"/>
        <v>-257033.39555111341</v>
      </c>
      <c r="S31" s="8">
        <f t="shared" si="43"/>
        <v>-257033.39555111341</v>
      </c>
      <c r="T31" s="8">
        <f t="shared" si="43"/>
        <v>-257033.39555111341</v>
      </c>
      <c r="U31" s="8">
        <f t="shared" si="43"/>
        <v>-257033.39555111341</v>
      </c>
      <c r="V31" s="8">
        <f t="shared" si="43"/>
        <v>-257033.39555111341</v>
      </c>
      <c r="W31" s="8">
        <f t="shared" si="43"/>
        <v>-257033.39555111341</v>
      </c>
      <c r="X31" s="8">
        <f t="shared" si="43"/>
        <v>-257033.39555111341</v>
      </c>
      <c r="Y31" s="8">
        <f t="shared" si="43"/>
        <v>-257033.39555111341</v>
      </c>
      <c r="Z31" s="8">
        <f t="shared" si="43"/>
        <v>-257033.39555111341</v>
      </c>
      <c r="AA31" s="8">
        <f t="shared" si="43"/>
        <v>-257033.39555111341</v>
      </c>
      <c r="AB31" s="8">
        <f t="shared" si="43"/>
        <v>-257033.39555111341</v>
      </c>
      <c r="AC31" s="8">
        <f t="shared" si="43"/>
        <v>-257033.39555111341</v>
      </c>
      <c r="AD31" s="8">
        <f t="shared" si="43"/>
        <v>-257033.39555111341</v>
      </c>
      <c r="AE31" s="8">
        <f t="shared" si="43"/>
        <v>-257033.39555111341</v>
      </c>
      <c r="AF31" s="8">
        <f t="shared" si="43"/>
        <v>-257033.39555111341</v>
      </c>
      <c r="AG31" s="8">
        <f t="shared" ref="AG31:AQ31" si="44">AG19-AG7</f>
        <v>-257033.39555111341</v>
      </c>
      <c r="AH31" s="8">
        <f t="shared" si="44"/>
        <v>-257033.39555111341</v>
      </c>
      <c r="AI31" s="8">
        <f t="shared" si="44"/>
        <v>-257033.39555111341</v>
      </c>
      <c r="AJ31" s="8">
        <f t="shared" si="44"/>
        <v>-257033.39555111341</v>
      </c>
      <c r="AK31" s="8">
        <f t="shared" si="44"/>
        <v>-257033.39555111341</v>
      </c>
      <c r="AL31" s="8">
        <f t="shared" si="44"/>
        <v>-257033.39555111341</v>
      </c>
      <c r="AM31" s="8">
        <f t="shared" si="44"/>
        <v>-257033.39555111341</v>
      </c>
      <c r="AN31" s="8">
        <f t="shared" si="44"/>
        <v>-257033.39555111341</v>
      </c>
      <c r="AO31" s="8">
        <f t="shared" si="44"/>
        <v>-257033.39555111341</v>
      </c>
      <c r="AP31" s="8">
        <f t="shared" si="44"/>
        <v>-257033.39555111341</v>
      </c>
      <c r="AQ31" s="8">
        <f t="shared" si="44"/>
        <v>-257033.39555111341</v>
      </c>
    </row>
    <row r="32" spans="2:43">
      <c r="B32" s="3" t="s">
        <v>42</v>
      </c>
      <c r="C32" s="8">
        <f t="shared" si="42"/>
        <v>10143403.419699199</v>
      </c>
      <c r="D32" s="8">
        <f t="shared" ref="D32:AF33" si="45">D20-D8</f>
        <v>0</v>
      </c>
      <c r="E32" s="8">
        <f t="shared" si="45"/>
        <v>0</v>
      </c>
      <c r="F32" s="8">
        <f t="shared" si="45"/>
        <v>0</v>
      </c>
      <c r="G32" s="8">
        <f t="shared" si="45"/>
        <v>0</v>
      </c>
      <c r="H32" s="8">
        <f t="shared" si="45"/>
        <v>0</v>
      </c>
      <c r="I32" s="8">
        <f t="shared" si="45"/>
        <v>0</v>
      </c>
      <c r="J32" s="8">
        <f t="shared" si="45"/>
        <v>0</v>
      </c>
      <c r="K32" s="8">
        <f t="shared" si="45"/>
        <v>0</v>
      </c>
      <c r="L32" s="8">
        <f t="shared" si="45"/>
        <v>0</v>
      </c>
      <c r="M32" s="8">
        <f t="shared" si="45"/>
        <v>0</v>
      </c>
      <c r="N32" s="8">
        <f t="shared" si="45"/>
        <v>0</v>
      </c>
      <c r="O32" s="8">
        <f t="shared" si="45"/>
        <v>0</v>
      </c>
      <c r="P32" s="8">
        <f t="shared" si="45"/>
        <v>0</v>
      </c>
      <c r="Q32" s="8">
        <f t="shared" si="45"/>
        <v>0</v>
      </c>
      <c r="R32" s="8">
        <f t="shared" si="45"/>
        <v>0</v>
      </c>
      <c r="S32" s="8">
        <f t="shared" si="45"/>
        <v>0</v>
      </c>
      <c r="T32" s="8">
        <f t="shared" si="45"/>
        <v>0</v>
      </c>
      <c r="U32" s="8">
        <f t="shared" si="45"/>
        <v>0</v>
      </c>
      <c r="V32" s="8">
        <f t="shared" si="45"/>
        <v>0</v>
      </c>
      <c r="W32" s="8">
        <f t="shared" si="45"/>
        <v>0</v>
      </c>
      <c r="X32" s="8">
        <f t="shared" si="45"/>
        <v>0</v>
      </c>
      <c r="Y32" s="8">
        <f t="shared" si="45"/>
        <v>0</v>
      </c>
      <c r="Z32" s="8">
        <f t="shared" si="45"/>
        <v>0</v>
      </c>
      <c r="AA32" s="8">
        <f t="shared" si="45"/>
        <v>6974037.8754613642</v>
      </c>
      <c r="AB32" s="8">
        <f t="shared" si="45"/>
        <v>0</v>
      </c>
      <c r="AC32" s="8">
        <f t="shared" si="45"/>
        <v>0</v>
      </c>
      <c r="AD32" s="8">
        <f t="shared" si="45"/>
        <v>0</v>
      </c>
      <c r="AE32" s="8">
        <f t="shared" si="45"/>
        <v>0</v>
      </c>
      <c r="AF32" s="8">
        <f t="shared" si="45"/>
        <v>0</v>
      </c>
      <c r="AG32" s="8">
        <f t="shared" ref="AG32:AQ32" si="46">AG20-AG8</f>
        <v>0</v>
      </c>
      <c r="AH32" s="8">
        <f t="shared" si="46"/>
        <v>0</v>
      </c>
      <c r="AI32" s="8">
        <f t="shared" si="46"/>
        <v>0</v>
      </c>
      <c r="AJ32" s="8">
        <f t="shared" si="46"/>
        <v>0</v>
      </c>
      <c r="AK32" s="8">
        <f t="shared" si="46"/>
        <v>3169365.5442378358</v>
      </c>
      <c r="AL32" s="8">
        <f t="shared" si="46"/>
        <v>0</v>
      </c>
      <c r="AM32" s="8">
        <f t="shared" si="46"/>
        <v>0</v>
      </c>
      <c r="AN32" s="8">
        <f t="shared" si="46"/>
        <v>0</v>
      </c>
      <c r="AO32" s="8">
        <f t="shared" si="46"/>
        <v>0</v>
      </c>
      <c r="AP32" s="8">
        <f t="shared" si="46"/>
        <v>0</v>
      </c>
      <c r="AQ32" s="8">
        <f t="shared" si="46"/>
        <v>0</v>
      </c>
    </row>
    <row r="33" spans="2:43">
      <c r="B33" s="3" t="s">
        <v>586</v>
      </c>
      <c r="C33" s="8">
        <f t="shared" si="42"/>
        <v>0</v>
      </c>
      <c r="D33" s="8">
        <f t="shared" si="45"/>
        <v>0</v>
      </c>
      <c r="E33" s="8">
        <f t="shared" si="45"/>
        <v>0</v>
      </c>
      <c r="F33" s="8">
        <f t="shared" si="45"/>
        <v>0</v>
      </c>
      <c r="G33" s="8">
        <f t="shared" si="45"/>
        <v>0</v>
      </c>
      <c r="H33" s="8">
        <f t="shared" si="45"/>
        <v>0</v>
      </c>
      <c r="I33" s="8">
        <f t="shared" si="45"/>
        <v>0</v>
      </c>
      <c r="J33" s="8">
        <f t="shared" si="45"/>
        <v>0</v>
      </c>
      <c r="K33" s="8">
        <f t="shared" si="45"/>
        <v>0</v>
      </c>
      <c r="L33" s="8">
        <f t="shared" si="45"/>
        <v>0</v>
      </c>
      <c r="M33" s="8">
        <f t="shared" si="45"/>
        <v>0</v>
      </c>
      <c r="N33" s="8">
        <f t="shared" si="45"/>
        <v>0</v>
      </c>
      <c r="O33" s="8">
        <f t="shared" si="45"/>
        <v>0</v>
      </c>
      <c r="P33" s="8">
        <f t="shared" si="45"/>
        <v>0</v>
      </c>
      <c r="Q33" s="8">
        <f t="shared" si="45"/>
        <v>0</v>
      </c>
      <c r="R33" s="8">
        <f t="shared" si="45"/>
        <v>0</v>
      </c>
      <c r="S33" s="8">
        <f t="shared" si="45"/>
        <v>0</v>
      </c>
      <c r="T33" s="8">
        <f t="shared" si="45"/>
        <v>0</v>
      </c>
      <c r="U33" s="8">
        <f t="shared" si="45"/>
        <v>0</v>
      </c>
      <c r="V33" s="8">
        <f t="shared" si="45"/>
        <v>0</v>
      </c>
      <c r="W33" s="8">
        <f t="shared" si="45"/>
        <v>0</v>
      </c>
      <c r="X33" s="8">
        <f t="shared" si="45"/>
        <v>0</v>
      </c>
      <c r="Y33" s="8">
        <f t="shared" si="45"/>
        <v>0</v>
      </c>
      <c r="Z33" s="8">
        <f t="shared" si="45"/>
        <v>0</v>
      </c>
      <c r="AA33" s="8">
        <f t="shared" si="45"/>
        <v>0</v>
      </c>
      <c r="AB33" s="8">
        <f t="shared" si="45"/>
        <v>0</v>
      </c>
      <c r="AC33" s="8">
        <f t="shared" si="45"/>
        <v>0</v>
      </c>
      <c r="AD33" s="8">
        <f t="shared" si="45"/>
        <v>0</v>
      </c>
      <c r="AE33" s="8">
        <f t="shared" si="45"/>
        <v>0</v>
      </c>
      <c r="AF33" s="8">
        <f t="shared" si="45"/>
        <v>0</v>
      </c>
      <c r="AG33" s="8">
        <f t="shared" ref="AG33:AQ33" si="47">AG21-AG9</f>
        <v>0</v>
      </c>
      <c r="AH33" s="8">
        <f t="shared" si="47"/>
        <v>0</v>
      </c>
      <c r="AI33" s="8">
        <f t="shared" si="47"/>
        <v>0</v>
      </c>
      <c r="AJ33" s="8">
        <f t="shared" si="47"/>
        <v>0</v>
      </c>
      <c r="AK33" s="8">
        <f t="shared" si="47"/>
        <v>0</v>
      </c>
      <c r="AL33" s="8">
        <f t="shared" si="47"/>
        <v>0</v>
      </c>
      <c r="AM33" s="8">
        <f t="shared" si="47"/>
        <v>0</v>
      </c>
      <c r="AN33" s="8">
        <f t="shared" si="47"/>
        <v>0</v>
      </c>
      <c r="AO33" s="8">
        <f t="shared" si="47"/>
        <v>0</v>
      </c>
      <c r="AP33" s="8">
        <f t="shared" si="47"/>
        <v>0</v>
      </c>
      <c r="AQ33" s="8">
        <f t="shared" si="47"/>
        <v>0</v>
      </c>
    </row>
    <row r="34" spans="2:43">
      <c r="B34" s="4" t="s">
        <v>478</v>
      </c>
      <c r="C34" s="13">
        <f t="shared" si="42"/>
        <v>779825.87287420733</v>
      </c>
      <c r="D34" s="13">
        <f>SUM(D31:D33)</f>
        <v>0</v>
      </c>
      <c r="E34" s="13">
        <f t="shared" ref="E34:AF34" si="48">SUM(E31:E33)</f>
        <v>0</v>
      </c>
      <c r="F34" s="13">
        <f t="shared" si="48"/>
        <v>0</v>
      </c>
      <c r="G34" s="13">
        <f t="shared" si="48"/>
        <v>-110375.30698490981</v>
      </c>
      <c r="H34" s="13">
        <f t="shared" si="48"/>
        <v>-257033.39555111341</v>
      </c>
      <c r="I34" s="13">
        <f t="shared" si="48"/>
        <v>-257033.39555111341</v>
      </c>
      <c r="J34" s="13">
        <f t="shared" si="48"/>
        <v>-257033.39555111341</v>
      </c>
      <c r="K34" s="13">
        <f t="shared" si="48"/>
        <v>-257033.39555111341</v>
      </c>
      <c r="L34" s="13">
        <f t="shared" si="48"/>
        <v>-257033.39555111341</v>
      </c>
      <c r="M34" s="13">
        <f t="shared" si="48"/>
        <v>-257033.39555111341</v>
      </c>
      <c r="N34" s="13">
        <f t="shared" si="48"/>
        <v>-257033.39555111341</v>
      </c>
      <c r="O34" s="13">
        <f t="shared" si="48"/>
        <v>-257033.39555111341</v>
      </c>
      <c r="P34" s="13">
        <f t="shared" si="48"/>
        <v>-257033.39555111341</v>
      </c>
      <c r="Q34" s="13">
        <f t="shared" si="48"/>
        <v>-257033.39555111341</v>
      </c>
      <c r="R34" s="13">
        <f t="shared" si="48"/>
        <v>-257033.39555111341</v>
      </c>
      <c r="S34" s="13">
        <f t="shared" si="48"/>
        <v>-257033.39555111341</v>
      </c>
      <c r="T34" s="13">
        <f t="shared" si="48"/>
        <v>-257033.39555111341</v>
      </c>
      <c r="U34" s="13">
        <f t="shared" si="48"/>
        <v>-257033.39555111341</v>
      </c>
      <c r="V34" s="13">
        <f t="shared" si="48"/>
        <v>-257033.39555111341</v>
      </c>
      <c r="W34" s="13">
        <f t="shared" si="48"/>
        <v>-257033.39555111341</v>
      </c>
      <c r="X34" s="13">
        <f t="shared" si="48"/>
        <v>-257033.39555111341</v>
      </c>
      <c r="Y34" s="13">
        <f t="shared" si="48"/>
        <v>-257033.39555111341</v>
      </c>
      <c r="Z34" s="13">
        <f t="shared" si="48"/>
        <v>-257033.39555111341</v>
      </c>
      <c r="AA34" s="13">
        <f t="shared" si="48"/>
        <v>6717004.4799102508</v>
      </c>
      <c r="AB34" s="13">
        <f t="shared" si="48"/>
        <v>-257033.39555111341</v>
      </c>
      <c r="AC34" s="13">
        <f t="shared" si="48"/>
        <v>-257033.39555111341</v>
      </c>
      <c r="AD34" s="13">
        <f t="shared" si="48"/>
        <v>-257033.39555111341</v>
      </c>
      <c r="AE34" s="13">
        <f t="shared" si="48"/>
        <v>-257033.39555111341</v>
      </c>
      <c r="AF34" s="13">
        <f t="shared" si="48"/>
        <v>-257033.39555111341</v>
      </c>
      <c r="AG34" s="13">
        <f t="shared" ref="AG34:AQ34" si="49">SUM(AG31:AG33)</f>
        <v>-257033.39555111341</v>
      </c>
      <c r="AH34" s="13">
        <f t="shared" si="49"/>
        <v>-257033.39555111341</v>
      </c>
      <c r="AI34" s="13">
        <f t="shared" si="49"/>
        <v>-257033.39555111341</v>
      </c>
      <c r="AJ34" s="13">
        <f t="shared" si="49"/>
        <v>-257033.39555111341</v>
      </c>
      <c r="AK34" s="13">
        <f t="shared" si="49"/>
        <v>2912332.1486867224</v>
      </c>
      <c r="AL34" s="13">
        <f t="shared" si="49"/>
        <v>-257033.39555111341</v>
      </c>
      <c r="AM34" s="13">
        <f t="shared" si="49"/>
        <v>-257033.39555111341</v>
      </c>
      <c r="AN34" s="13">
        <f t="shared" si="49"/>
        <v>-257033.39555111341</v>
      </c>
      <c r="AO34" s="13">
        <f t="shared" si="49"/>
        <v>-257033.39555111341</v>
      </c>
      <c r="AP34" s="13">
        <f t="shared" si="49"/>
        <v>-257033.39555111341</v>
      </c>
      <c r="AQ34" s="13">
        <f t="shared" si="49"/>
        <v>-257033.39555111341</v>
      </c>
    </row>
    <row r="35" spans="2:43">
      <c r="B35" s="3" t="s">
        <v>587</v>
      </c>
      <c r="C35" s="8">
        <f t="shared" si="42"/>
        <v>-60268792.388618916</v>
      </c>
      <c r="D35" s="8">
        <f t="shared" ref="D35:AF35" si="50">D23-D11</f>
        <v>0</v>
      </c>
      <c r="E35" s="8">
        <f t="shared" si="50"/>
        <v>0</v>
      </c>
      <c r="F35" s="8">
        <f t="shared" si="50"/>
        <v>0</v>
      </c>
      <c r="G35" s="8">
        <f t="shared" si="50"/>
        <v>-446402.30326531781</v>
      </c>
      <c r="H35" s="8">
        <f t="shared" si="50"/>
        <v>-1661733.0579264872</v>
      </c>
      <c r="I35" s="8">
        <f t="shared" si="50"/>
        <v>-1661733.0579264872</v>
      </c>
      <c r="J35" s="8">
        <f t="shared" si="50"/>
        <v>-1661733.0579264872</v>
      </c>
      <c r="K35" s="8">
        <f t="shared" si="50"/>
        <v>-1661733.0579264872</v>
      </c>
      <c r="L35" s="8">
        <f t="shared" si="50"/>
        <v>-1661733.0579264872</v>
      </c>
      <c r="M35" s="8">
        <f t="shared" si="50"/>
        <v>-1661733.0579264872</v>
      </c>
      <c r="N35" s="8">
        <f t="shared" si="50"/>
        <v>-1661733.0579264872</v>
      </c>
      <c r="O35" s="8">
        <f t="shared" si="50"/>
        <v>-1661733.0579264872</v>
      </c>
      <c r="P35" s="8">
        <f t="shared" si="50"/>
        <v>-1661733.0579264872</v>
      </c>
      <c r="Q35" s="8">
        <f t="shared" si="50"/>
        <v>-1661733.0579264872</v>
      </c>
      <c r="R35" s="8">
        <f t="shared" si="50"/>
        <v>-1661733.0579264872</v>
      </c>
      <c r="S35" s="8">
        <f t="shared" si="50"/>
        <v>-1661733.0579264872</v>
      </c>
      <c r="T35" s="8">
        <f t="shared" si="50"/>
        <v>-1661733.0579264872</v>
      </c>
      <c r="U35" s="8">
        <f t="shared" si="50"/>
        <v>-1661733.0579264872</v>
      </c>
      <c r="V35" s="8">
        <f t="shared" si="50"/>
        <v>-1661733.0579264872</v>
      </c>
      <c r="W35" s="8">
        <f t="shared" si="50"/>
        <v>-1661733.0579264872</v>
      </c>
      <c r="X35" s="8">
        <f t="shared" si="50"/>
        <v>-1661733.0579264872</v>
      </c>
      <c r="Y35" s="8">
        <f t="shared" si="50"/>
        <v>-1661733.0579264872</v>
      </c>
      <c r="Z35" s="8">
        <f t="shared" si="50"/>
        <v>-1661733.0579264872</v>
      </c>
      <c r="AA35" s="8">
        <f t="shared" si="50"/>
        <v>-1661733.0579264872</v>
      </c>
      <c r="AB35" s="8">
        <f t="shared" si="50"/>
        <v>-1661733.0579264872</v>
      </c>
      <c r="AC35" s="8">
        <f t="shared" si="50"/>
        <v>-1661733.0579264872</v>
      </c>
      <c r="AD35" s="8">
        <f t="shared" si="50"/>
        <v>-1661733.0579264872</v>
      </c>
      <c r="AE35" s="8">
        <f t="shared" si="50"/>
        <v>-1661733.0579264872</v>
      </c>
      <c r="AF35" s="8">
        <f t="shared" si="50"/>
        <v>-1661733.0579264872</v>
      </c>
      <c r="AG35" s="8">
        <f t="shared" ref="AG35:AQ35" si="51">AG23-AG11</f>
        <v>-1661733.0579264872</v>
      </c>
      <c r="AH35" s="8">
        <f t="shared" si="51"/>
        <v>-1661733.0579264872</v>
      </c>
      <c r="AI35" s="8">
        <f t="shared" si="51"/>
        <v>-1661733.0579264872</v>
      </c>
      <c r="AJ35" s="8">
        <f t="shared" si="51"/>
        <v>-1661733.0579264872</v>
      </c>
      <c r="AK35" s="8">
        <f t="shared" si="51"/>
        <v>-1661733.0579264872</v>
      </c>
      <c r="AL35" s="8">
        <f t="shared" si="51"/>
        <v>-1661733.0579264872</v>
      </c>
      <c r="AM35" s="8">
        <f t="shared" si="51"/>
        <v>-1661733.0579264872</v>
      </c>
      <c r="AN35" s="8">
        <f t="shared" si="51"/>
        <v>-1661733.0579264872</v>
      </c>
      <c r="AO35" s="8">
        <f t="shared" si="51"/>
        <v>-1661733.0579264872</v>
      </c>
      <c r="AP35" s="8">
        <f t="shared" si="51"/>
        <v>-1661733.0579264872</v>
      </c>
      <c r="AQ35" s="8">
        <f t="shared" si="51"/>
        <v>-1661733.0579264872</v>
      </c>
    </row>
    <row r="36" spans="2:43" ht="12" thickBot="1">
      <c r="B36" s="21" t="s">
        <v>69</v>
      </c>
      <c r="C36" s="22">
        <f t="shared" si="42"/>
        <v>-60268792.388618916</v>
      </c>
      <c r="D36" s="22">
        <f t="shared" ref="D36:AF36" si="52">SUM(D35:D35)</f>
        <v>0</v>
      </c>
      <c r="E36" s="22">
        <f t="shared" si="52"/>
        <v>0</v>
      </c>
      <c r="F36" s="22">
        <f t="shared" si="52"/>
        <v>0</v>
      </c>
      <c r="G36" s="22">
        <f t="shared" si="52"/>
        <v>-446402.30326531781</v>
      </c>
      <c r="H36" s="22">
        <f t="shared" si="52"/>
        <v>-1661733.0579264872</v>
      </c>
      <c r="I36" s="22">
        <f t="shared" si="52"/>
        <v>-1661733.0579264872</v>
      </c>
      <c r="J36" s="22">
        <f t="shared" si="52"/>
        <v>-1661733.0579264872</v>
      </c>
      <c r="K36" s="22">
        <f t="shared" si="52"/>
        <v>-1661733.0579264872</v>
      </c>
      <c r="L36" s="22">
        <f t="shared" si="52"/>
        <v>-1661733.0579264872</v>
      </c>
      <c r="M36" s="22">
        <f t="shared" si="52"/>
        <v>-1661733.0579264872</v>
      </c>
      <c r="N36" s="22">
        <f t="shared" si="52"/>
        <v>-1661733.0579264872</v>
      </c>
      <c r="O36" s="22">
        <f t="shared" si="52"/>
        <v>-1661733.0579264872</v>
      </c>
      <c r="P36" s="22">
        <f t="shared" si="52"/>
        <v>-1661733.0579264872</v>
      </c>
      <c r="Q36" s="22">
        <f t="shared" si="52"/>
        <v>-1661733.0579264872</v>
      </c>
      <c r="R36" s="22">
        <f t="shared" si="52"/>
        <v>-1661733.0579264872</v>
      </c>
      <c r="S36" s="22">
        <f t="shared" si="52"/>
        <v>-1661733.0579264872</v>
      </c>
      <c r="T36" s="22">
        <f t="shared" si="52"/>
        <v>-1661733.0579264872</v>
      </c>
      <c r="U36" s="22">
        <f t="shared" si="52"/>
        <v>-1661733.0579264872</v>
      </c>
      <c r="V36" s="22">
        <f t="shared" si="52"/>
        <v>-1661733.0579264872</v>
      </c>
      <c r="W36" s="22">
        <f t="shared" si="52"/>
        <v>-1661733.0579264872</v>
      </c>
      <c r="X36" s="22">
        <f t="shared" si="52"/>
        <v>-1661733.0579264872</v>
      </c>
      <c r="Y36" s="22">
        <f t="shared" si="52"/>
        <v>-1661733.0579264872</v>
      </c>
      <c r="Z36" s="22">
        <f t="shared" si="52"/>
        <v>-1661733.0579264872</v>
      </c>
      <c r="AA36" s="22">
        <f t="shared" si="52"/>
        <v>-1661733.0579264872</v>
      </c>
      <c r="AB36" s="22">
        <f t="shared" si="52"/>
        <v>-1661733.0579264872</v>
      </c>
      <c r="AC36" s="22">
        <f t="shared" si="52"/>
        <v>-1661733.0579264872</v>
      </c>
      <c r="AD36" s="22">
        <f t="shared" si="52"/>
        <v>-1661733.0579264872</v>
      </c>
      <c r="AE36" s="22">
        <f t="shared" si="52"/>
        <v>-1661733.0579264872</v>
      </c>
      <c r="AF36" s="22">
        <f t="shared" si="52"/>
        <v>-1661733.0579264872</v>
      </c>
      <c r="AG36" s="22">
        <f t="shared" ref="AG36:AQ36" si="53">SUM(AG35:AG35)</f>
        <v>-1661733.0579264872</v>
      </c>
      <c r="AH36" s="22">
        <f t="shared" si="53"/>
        <v>-1661733.0579264872</v>
      </c>
      <c r="AI36" s="22">
        <f t="shared" si="53"/>
        <v>-1661733.0579264872</v>
      </c>
      <c r="AJ36" s="22">
        <f t="shared" si="53"/>
        <v>-1661733.0579264872</v>
      </c>
      <c r="AK36" s="22">
        <f t="shared" si="53"/>
        <v>-1661733.0579264872</v>
      </c>
      <c r="AL36" s="22">
        <f t="shared" si="53"/>
        <v>-1661733.0579264872</v>
      </c>
      <c r="AM36" s="22">
        <f t="shared" si="53"/>
        <v>-1661733.0579264872</v>
      </c>
      <c r="AN36" s="22">
        <f t="shared" si="53"/>
        <v>-1661733.0579264872</v>
      </c>
      <c r="AO36" s="22">
        <f t="shared" si="53"/>
        <v>-1661733.0579264872</v>
      </c>
      <c r="AP36" s="22">
        <f t="shared" si="53"/>
        <v>-1661733.0579264872</v>
      </c>
      <c r="AQ36" s="22">
        <f t="shared" si="53"/>
        <v>-1661733.0579264872</v>
      </c>
    </row>
    <row r="37" spans="2:43" ht="12" thickTop="1">
      <c r="B37" s="23" t="s">
        <v>68</v>
      </c>
      <c r="C37" s="24">
        <f t="shared" si="42"/>
        <v>-59488966.515744597</v>
      </c>
      <c r="D37" s="24">
        <f t="shared" ref="D37:AF37" si="54">SUM(D34,D36)</f>
        <v>0</v>
      </c>
      <c r="E37" s="24">
        <f t="shared" si="54"/>
        <v>0</v>
      </c>
      <c r="F37" s="24">
        <f t="shared" si="54"/>
        <v>0</v>
      </c>
      <c r="G37" s="24">
        <f t="shared" si="54"/>
        <v>-556777.61025022762</v>
      </c>
      <c r="H37" s="24">
        <f t="shared" si="54"/>
        <v>-1918766.4534776006</v>
      </c>
      <c r="I37" s="24">
        <f t="shared" si="54"/>
        <v>-1918766.4534776006</v>
      </c>
      <c r="J37" s="24">
        <f t="shared" si="54"/>
        <v>-1918766.4534776006</v>
      </c>
      <c r="K37" s="24">
        <f t="shared" si="54"/>
        <v>-1918766.4534776006</v>
      </c>
      <c r="L37" s="24">
        <f t="shared" si="54"/>
        <v>-1918766.4534776006</v>
      </c>
      <c r="M37" s="24">
        <f t="shared" si="54"/>
        <v>-1918766.4534776006</v>
      </c>
      <c r="N37" s="24">
        <f t="shared" si="54"/>
        <v>-1918766.4534776006</v>
      </c>
      <c r="O37" s="24">
        <f t="shared" si="54"/>
        <v>-1918766.4534776006</v>
      </c>
      <c r="P37" s="24">
        <f t="shared" si="54"/>
        <v>-1918766.4534776006</v>
      </c>
      <c r="Q37" s="24">
        <f t="shared" si="54"/>
        <v>-1918766.4534776006</v>
      </c>
      <c r="R37" s="24">
        <f t="shared" si="54"/>
        <v>-1918766.4534776006</v>
      </c>
      <c r="S37" s="24">
        <f t="shared" si="54"/>
        <v>-1918766.4534776006</v>
      </c>
      <c r="T37" s="24">
        <f t="shared" si="54"/>
        <v>-1918766.4534776006</v>
      </c>
      <c r="U37" s="24">
        <f t="shared" si="54"/>
        <v>-1918766.4534776006</v>
      </c>
      <c r="V37" s="24">
        <f t="shared" si="54"/>
        <v>-1918766.4534776006</v>
      </c>
      <c r="W37" s="24">
        <f t="shared" si="54"/>
        <v>-1918766.4534776006</v>
      </c>
      <c r="X37" s="24">
        <f t="shared" si="54"/>
        <v>-1918766.4534776006</v>
      </c>
      <c r="Y37" s="24">
        <f t="shared" si="54"/>
        <v>-1918766.4534776006</v>
      </c>
      <c r="Z37" s="24">
        <f t="shared" si="54"/>
        <v>-1918766.4534776006</v>
      </c>
      <c r="AA37" s="24">
        <f t="shared" si="54"/>
        <v>5055271.4219837636</v>
      </c>
      <c r="AB37" s="24">
        <f t="shared" si="54"/>
        <v>-1918766.4534776006</v>
      </c>
      <c r="AC37" s="24">
        <f t="shared" si="54"/>
        <v>-1918766.4534776006</v>
      </c>
      <c r="AD37" s="24">
        <f t="shared" si="54"/>
        <v>-1918766.4534776006</v>
      </c>
      <c r="AE37" s="24">
        <f t="shared" si="54"/>
        <v>-1918766.4534776006</v>
      </c>
      <c r="AF37" s="24">
        <f t="shared" si="54"/>
        <v>-1918766.4534776006</v>
      </c>
      <c r="AG37" s="24">
        <f t="shared" ref="AG37:AQ37" si="55">SUM(AG34,AG36)</f>
        <v>-1918766.4534776006</v>
      </c>
      <c r="AH37" s="24">
        <f t="shared" si="55"/>
        <v>-1918766.4534776006</v>
      </c>
      <c r="AI37" s="24">
        <f t="shared" si="55"/>
        <v>-1918766.4534776006</v>
      </c>
      <c r="AJ37" s="24">
        <f t="shared" si="55"/>
        <v>-1918766.4534776006</v>
      </c>
      <c r="AK37" s="24">
        <f t="shared" si="55"/>
        <v>1250599.0907602352</v>
      </c>
      <c r="AL37" s="24">
        <f t="shared" si="55"/>
        <v>-1918766.4534776006</v>
      </c>
      <c r="AM37" s="24">
        <f t="shared" si="55"/>
        <v>-1918766.4534776006</v>
      </c>
      <c r="AN37" s="24">
        <f t="shared" si="55"/>
        <v>-1918766.4534776006</v>
      </c>
      <c r="AO37" s="24">
        <f t="shared" si="55"/>
        <v>-1918766.4534776006</v>
      </c>
      <c r="AP37" s="24">
        <f t="shared" si="55"/>
        <v>-1918766.4534776006</v>
      </c>
      <c r="AQ37" s="24">
        <f t="shared" si="55"/>
        <v>-1918766.4534776006</v>
      </c>
    </row>
    <row r="40" spans="2:43">
      <c r="C40" s="3"/>
      <c r="D40" s="3" t="s">
        <v>9</v>
      </c>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row>
    <row r="41" spans="2:43">
      <c r="B41" s="4" t="s">
        <v>260</v>
      </c>
      <c r="C41" s="4"/>
      <c r="D41" s="3">
        <v>1</v>
      </c>
      <c r="E41" s="3">
        <v>2</v>
      </c>
      <c r="F41" s="3">
        <v>3</v>
      </c>
      <c r="G41" s="3">
        <v>4</v>
      </c>
      <c r="H41" s="3">
        <v>5</v>
      </c>
      <c r="I41" s="3">
        <v>6</v>
      </c>
      <c r="J41" s="3">
        <v>7</v>
      </c>
      <c r="K41" s="3">
        <v>8</v>
      </c>
      <c r="L41" s="3">
        <v>9</v>
      </c>
      <c r="M41" s="3">
        <v>10</v>
      </c>
      <c r="N41" s="3">
        <v>11</v>
      </c>
      <c r="O41" s="3">
        <v>12</v>
      </c>
      <c r="P41" s="3">
        <v>13</v>
      </c>
      <c r="Q41" s="3">
        <v>14</v>
      </c>
      <c r="R41" s="3">
        <v>15</v>
      </c>
      <c r="S41" s="3">
        <v>16</v>
      </c>
      <c r="T41" s="3">
        <v>17</v>
      </c>
      <c r="U41" s="3">
        <v>18</v>
      </c>
      <c r="V41" s="3">
        <v>19</v>
      </c>
      <c r="W41" s="3">
        <v>20</v>
      </c>
      <c r="X41" s="3">
        <v>21</v>
      </c>
      <c r="Y41" s="3">
        <v>22</v>
      </c>
      <c r="Z41" s="3">
        <v>23</v>
      </c>
      <c r="AA41" s="3">
        <v>24</v>
      </c>
      <c r="AB41" s="3">
        <v>25</v>
      </c>
      <c r="AC41" s="3">
        <v>26</v>
      </c>
      <c r="AD41" s="3">
        <v>27</v>
      </c>
      <c r="AE41" s="3">
        <v>28</v>
      </c>
      <c r="AF41" s="3">
        <f>AF5</f>
        <v>29</v>
      </c>
      <c r="AG41" s="3">
        <f t="shared" ref="AG41:AQ41" si="56">AG5</f>
        <v>30</v>
      </c>
      <c r="AH41" s="3">
        <f t="shared" si="56"/>
        <v>31</v>
      </c>
      <c r="AI41" s="3">
        <f t="shared" si="56"/>
        <v>32</v>
      </c>
      <c r="AJ41" s="3">
        <f t="shared" si="56"/>
        <v>33</v>
      </c>
      <c r="AK41" s="3">
        <f t="shared" si="56"/>
        <v>34</v>
      </c>
      <c r="AL41" s="3">
        <f t="shared" si="56"/>
        <v>35</v>
      </c>
      <c r="AM41" s="3">
        <f t="shared" si="56"/>
        <v>36</v>
      </c>
      <c r="AN41" s="3">
        <f t="shared" si="56"/>
        <v>37</v>
      </c>
      <c r="AO41" s="3">
        <f t="shared" si="56"/>
        <v>38</v>
      </c>
      <c r="AP41" s="3">
        <f t="shared" si="56"/>
        <v>39</v>
      </c>
      <c r="AQ41" s="3">
        <f t="shared" si="56"/>
        <v>40</v>
      </c>
    </row>
    <row r="42" spans="2:43">
      <c r="B42" s="198" t="s">
        <v>54</v>
      </c>
      <c r="C42" s="198" t="s">
        <v>8</v>
      </c>
      <c r="D42" s="141">
        <f t="shared" ref="D42:AF42" si="57">D6</f>
        <v>2024</v>
      </c>
      <c r="E42" s="141">
        <f t="shared" si="57"/>
        <v>2025</v>
      </c>
      <c r="F42" s="141">
        <f t="shared" si="57"/>
        <v>2026</v>
      </c>
      <c r="G42" s="141">
        <f t="shared" si="57"/>
        <v>2027</v>
      </c>
      <c r="H42" s="141">
        <f t="shared" si="57"/>
        <v>2028</v>
      </c>
      <c r="I42" s="141">
        <f t="shared" si="57"/>
        <v>2029</v>
      </c>
      <c r="J42" s="141">
        <f t="shared" si="57"/>
        <v>2030</v>
      </c>
      <c r="K42" s="141">
        <f t="shared" si="57"/>
        <v>2031</v>
      </c>
      <c r="L42" s="141">
        <f t="shared" si="57"/>
        <v>2032</v>
      </c>
      <c r="M42" s="141">
        <f t="shared" si="57"/>
        <v>2033</v>
      </c>
      <c r="N42" s="141">
        <f t="shared" si="57"/>
        <v>2034</v>
      </c>
      <c r="O42" s="141">
        <f t="shared" si="57"/>
        <v>2035</v>
      </c>
      <c r="P42" s="141">
        <f t="shared" si="57"/>
        <v>2036</v>
      </c>
      <c r="Q42" s="141">
        <f t="shared" si="57"/>
        <v>2037</v>
      </c>
      <c r="R42" s="141">
        <f t="shared" si="57"/>
        <v>2038</v>
      </c>
      <c r="S42" s="141">
        <f t="shared" si="57"/>
        <v>2039</v>
      </c>
      <c r="T42" s="141">
        <f t="shared" si="57"/>
        <v>2040</v>
      </c>
      <c r="U42" s="141">
        <f t="shared" si="57"/>
        <v>2041</v>
      </c>
      <c r="V42" s="141">
        <f t="shared" si="57"/>
        <v>2042</v>
      </c>
      <c r="W42" s="141">
        <f t="shared" si="57"/>
        <v>2043</v>
      </c>
      <c r="X42" s="141">
        <f t="shared" si="57"/>
        <v>2044</v>
      </c>
      <c r="Y42" s="141">
        <f t="shared" si="57"/>
        <v>2045</v>
      </c>
      <c r="Z42" s="141">
        <f t="shared" si="57"/>
        <v>2046</v>
      </c>
      <c r="AA42" s="141">
        <f t="shared" si="57"/>
        <v>2047</v>
      </c>
      <c r="AB42" s="141">
        <f t="shared" si="57"/>
        <v>2048</v>
      </c>
      <c r="AC42" s="141">
        <f t="shared" si="57"/>
        <v>2049</v>
      </c>
      <c r="AD42" s="141">
        <f t="shared" si="57"/>
        <v>2050</v>
      </c>
      <c r="AE42" s="141">
        <f t="shared" si="57"/>
        <v>2051</v>
      </c>
      <c r="AF42" s="141">
        <f t="shared" si="57"/>
        <v>2052</v>
      </c>
      <c r="AG42" s="141">
        <f t="shared" ref="AG42:AQ42" si="58">AG6</f>
        <v>2053</v>
      </c>
      <c r="AH42" s="141">
        <f t="shared" si="58"/>
        <v>2054</v>
      </c>
      <c r="AI42" s="141">
        <f t="shared" si="58"/>
        <v>2055</v>
      </c>
      <c r="AJ42" s="141">
        <f t="shared" si="58"/>
        <v>2056</v>
      </c>
      <c r="AK42" s="141">
        <f t="shared" si="58"/>
        <v>2057</v>
      </c>
      <c r="AL42" s="141">
        <f t="shared" si="58"/>
        <v>2058</v>
      </c>
      <c r="AM42" s="141">
        <f t="shared" si="58"/>
        <v>2059</v>
      </c>
      <c r="AN42" s="141">
        <f t="shared" si="58"/>
        <v>2060</v>
      </c>
      <c r="AO42" s="141">
        <f t="shared" si="58"/>
        <v>2061</v>
      </c>
      <c r="AP42" s="141">
        <f t="shared" si="58"/>
        <v>2062</v>
      </c>
      <c r="AQ42" s="141">
        <f t="shared" si="58"/>
        <v>2063</v>
      </c>
    </row>
    <row r="43" spans="2:43">
      <c r="B43" s="3" t="s">
        <v>73</v>
      </c>
      <c r="C43" s="8">
        <f t="shared" ref="C43:C49" si="59">SUM(D43:AQ43)</f>
        <v>-8427219.7921424881</v>
      </c>
      <c r="D43" s="8">
        <f>D31*Parametre!$C$119</f>
        <v>0</v>
      </c>
      <c r="E43" s="8">
        <f>E31*Parametre!$C$119</f>
        <v>0</v>
      </c>
      <c r="F43" s="8">
        <f>F31*Parametre!$C$119</f>
        <v>0</v>
      </c>
      <c r="G43" s="8">
        <f>G31*Parametre!$C$119</f>
        <v>-99337.776286418826</v>
      </c>
      <c r="H43" s="8">
        <f>H31*Parametre!$C$119</f>
        <v>-231330.05599600208</v>
      </c>
      <c r="I43" s="8">
        <f>I31*Parametre!$C$119</f>
        <v>-231330.05599600208</v>
      </c>
      <c r="J43" s="8">
        <f>J31*Parametre!$C$119</f>
        <v>-231330.05599600208</v>
      </c>
      <c r="K43" s="8">
        <f>K31*Parametre!$C$119</f>
        <v>-231330.05599600208</v>
      </c>
      <c r="L43" s="8">
        <f>L31*Parametre!$C$119</f>
        <v>-231330.05599600208</v>
      </c>
      <c r="M43" s="8">
        <f>M31*Parametre!$C$119</f>
        <v>-231330.05599600208</v>
      </c>
      <c r="N43" s="8">
        <f>N31*Parametre!$C$119</f>
        <v>-231330.05599600208</v>
      </c>
      <c r="O43" s="8">
        <f>O31*Parametre!$C$119</f>
        <v>-231330.05599600208</v>
      </c>
      <c r="P43" s="8">
        <f>P31*Parametre!$C$119</f>
        <v>-231330.05599600208</v>
      </c>
      <c r="Q43" s="8">
        <f>Q31*Parametre!$C$119</f>
        <v>-231330.05599600208</v>
      </c>
      <c r="R43" s="8">
        <f>R31*Parametre!$C$119</f>
        <v>-231330.05599600208</v>
      </c>
      <c r="S43" s="8">
        <f>S31*Parametre!$C$119</f>
        <v>-231330.05599600208</v>
      </c>
      <c r="T43" s="8">
        <f>T31*Parametre!$C$119</f>
        <v>-231330.05599600208</v>
      </c>
      <c r="U43" s="8">
        <f>U31*Parametre!$C$119</f>
        <v>-231330.05599600208</v>
      </c>
      <c r="V43" s="8">
        <f>V31*Parametre!$C$119</f>
        <v>-231330.05599600208</v>
      </c>
      <c r="W43" s="8">
        <f>W31*Parametre!$C$119</f>
        <v>-231330.05599600208</v>
      </c>
      <c r="X43" s="8">
        <f>X31*Parametre!$C$119</f>
        <v>-231330.05599600208</v>
      </c>
      <c r="Y43" s="8">
        <f>Y31*Parametre!$C$119</f>
        <v>-231330.05599600208</v>
      </c>
      <c r="Z43" s="8">
        <f>Z31*Parametre!$C$119</f>
        <v>-231330.05599600208</v>
      </c>
      <c r="AA43" s="8">
        <f>AA31*Parametre!$C$119</f>
        <v>-231330.05599600208</v>
      </c>
      <c r="AB43" s="8">
        <f>AB31*Parametre!$C$119</f>
        <v>-231330.05599600208</v>
      </c>
      <c r="AC43" s="8">
        <f>AC31*Parametre!$C$119</f>
        <v>-231330.05599600208</v>
      </c>
      <c r="AD43" s="8">
        <f>AD31*Parametre!$C$119</f>
        <v>-231330.05599600208</v>
      </c>
      <c r="AE43" s="8">
        <f>AE31*Parametre!$C$119</f>
        <v>-231330.05599600208</v>
      </c>
      <c r="AF43" s="8">
        <f>AF31*Parametre!$C$119</f>
        <v>-231330.05599600208</v>
      </c>
      <c r="AG43" s="8">
        <f>AG31*Parametre!$C$119</f>
        <v>-231330.05599600208</v>
      </c>
      <c r="AH43" s="8">
        <f>AH31*Parametre!$C$119</f>
        <v>-231330.05599600208</v>
      </c>
      <c r="AI43" s="8">
        <f>AI31*Parametre!$C$119</f>
        <v>-231330.05599600208</v>
      </c>
      <c r="AJ43" s="8">
        <f>AJ31*Parametre!$C$119</f>
        <v>-231330.05599600208</v>
      </c>
      <c r="AK43" s="8">
        <f>AK31*Parametre!$C$119</f>
        <v>-231330.05599600208</v>
      </c>
      <c r="AL43" s="8">
        <f>AL31*Parametre!$C$119</f>
        <v>-231330.05599600208</v>
      </c>
      <c r="AM43" s="8">
        <f>AM31*Parametre!$C$119</f>
        <v>-231330.05599600208</v>
      </c>
      <c r="AN43" s="8">
        <f>AN31*Parametre!$C$119</f>
        <v>-231330.05599600208</v>
      </c>
      <c r="AO43" s="8">
        <f>AO31*Parametre!$C$119</f>
        <v>-231330.05599600208</v>
      </c>
      <c r="AP43" s="8">
        <f>AP31*Parametre!$C$119</f>
        <v>-231330.05599600208</v>
      </c>
      <c r="AQ43" s="8">
        <f>AQ31*Parametre!$C$119</f>
        <v>-231330.05599600208</v>
      </c>
    </row>
    <row r="44" spans="2:43">
      <c r="B44" s="3" t="s">
        <v>42</v>
      </c>
      <c r="C44" s="8">
        <f t="shared" si="59"/>
        <v>9129063.077729281</v>
      </c>
      <c r="D44" s="8">
        <f>D32*Parametre!$C$119</f>
        <v>0</v>
      </c>
      <c r="E44" s="8">
        <f>E32*Parametre!$C$119</f>
        <v>0</v>
      </c>
      <c r="F44" s="8">
        <f>F32*Parametre!$C$119</f>
        <v>0</v>
      </c>
      <c r="G44" s="8">
        <f>G32*Parametre!$C$119</f>
        <v>0</v>
      </c>
      <c r="H44" s="8">
        <f>H32*Parametre!$C$119</f>
        <v>0</v>
      </c>
      <c r="I44" s="8">
        <f>I32*Parametre!$C$119</f>
        <v>0</v>
      </c>
      <c r="J44" s="8">
        <f>J32*Parametre!$C$119</f>
        <v>0</v>
      </c>
      <c r="K44" s="8">
        <f>K32*Parametre!$C$119</f>
        <v>0</v>
      </c>
      <c r="L44" s="8">
        <f>L32*Parametre!$C$119</f>
        <v>0</v>
      </c>
      <c r="M44" s="8">
        <f>M32*Parametre!$C$119</f>
        <v>0</v>
      </c>
      <c r="N44" s="8">
        <f>N32*Parametre!$C$119</f>
        <v>0</v>
      </c>
      <c r="O44" s="8">
        <f>O32*Parametre!$C$119</f>
        <v>0</v>
      </c>
      <c r="P44" s="8">
        <f>P32*Parametre!$C$119</f>
        <v>0</v>
      </c>
      <c r="Q44" s="8">
        <f>Q32*Parametre!$C$119</f>
        <v>0</v>
      </c>
      <c r="R44" s="8">
        <f>R32*Parametre!$C$119</f>
        <v>0</v>
      </c>
      <c r="S44" s="8">
        <f>S32*Parametre!$C$119</f>
        <v>0</v>
      </c>
      <c r="T44" s="8">
        <f>T32*Parametre!$C$119</f>
        <v>0</v>
      </c>
      <c r="U44" s="8">
        <f>U32*Parametre!$C$119</f>
        <v>0</v>
      </c>
      <c r="V44" s="8">
        <f>V32*Parametre!$C$119</f>
        <v>0</v>
      </c>
      <c r="W44" s="8">
        <f>W32*Parametre!$C$119</f>
        <v>0</v>
      </c>
      <c r="X44" s="8">
        <f>X32*Parametre!$C$119</f>
        <v>0</v>
      </c>
      <c r="Y44" s="8">
        <f>Y32*Parametre!$C$119</f>
        <v>0</v>
      </c>
      <c r="Z44" s="8">
        <f>Z32*Parametre!$C$119</f>
        <v>0</v>
      </c>
      <c r="AA44" s="8">
        <f>AA32*Parametre!$C$119</f>
        <v>6276634.0879152277</v>
      </c>
      <c r="AB44" s="8">
        <f>AB32*Parametre!$C$119</f>
        <v>0</v>
      </c>
      <c r="AC44" s="8">
        <f>AC32*Parametre!$C$119</f>
        <v>0</v>
      </c>
      <c r="AD44" s="8">
        <f>AD32*Parametre!$C$119</f>
        <v>0</v>
      </c>
      <c r="AE44" s="8">
        <f>AE32*Parametre!$C$119</f>
        <v>0</v>
      </c>
      <c r="AF44" s="8">
        <f>AF32*Parametre!$C$119</f>
        <v>0</v>
      </c>
      <c r="AG44" s="8">
        <f>AG32*Parametre!$C$119</f>
        <v>0</v>
      </c>
      <c r="AH44" s="8">
        <f>AH32*Parametre!$C$119</f>
        <v>0</v>
      </c>
      <c r="AI44" s="8">
        <f>AI32*Parametre!$C$119</f>
        <v>0</v>
      </c>
      <c r="AJ44" s="8">
        <f>AJ32*Parametre!$C$119</f>
        <v>0</v>
      </c>
      <c r="AK44" s="8">
        <f>AK32*Parametre!$C$119</f>
        <v>2852428.9898140524</v>
      </c>
      <c r="AL44" s="8">
        <f>AL32*Parametre!$C$119</f>
        <v>0</v>
      </c>
      <c r="AM44" s="8">
        <f>AM32*Parametre!$C$119</f>
        <v>0</v>
      </c>
      <c r="AN44" s="8">
        <f>AN32*Parametre!$C$119</f>
        <v>0</v>
      </c>
      <c r="AO44" s="8">
        <f>AO32*Parametre!$C$119</f>
        <v>0</v>
      </c>
      <c r="AP44" s="8">
        <f>AP32*Parametre!$C$119</f>
        <v>0</v>
      </c>
      <c r="AQ44" s="8">
        <f>AQ32*Parametre!$C$119</f>
        <v>0</v>
      </c>
    </row>
    <row r="45" spans="2:43">
      <c r="B45" s="3" t="s">
        <v>586</v>
      </c>
      <c r="C45" s="8">
        <f t="shared" si="59"/>
        <v>0</v>
      </c>
      <c r="D45" s="8">
        <f>D33*Parametre!$C$119</f>
        <v>0</v>
      </c>
      <c r="E45" s="8">
        <f>E33*Parametre!$C$119</f>
        <v>0</v>
      </c>
      <c r="F45" s="8">
        <f>F33*Parametre!$C$119</f>
        <v>0</v>
      </c>
      <c r="G45" s="8">
        <f>G33*Parametre!$C$119</f>
        <v>0</v>
      </c>
      <c r="H45" s="8">
        <f>H33*Parametre!$C$119</f>
        <v>0</v>
      </c>
      <c r="I45" s="8">
        <f>I33*Parametre!$C$119</f>
        <v>0</v>
      </c>
      <c r="J45" s="8">
        <f>J33*Parametre!$C$119</f>
        <v>0</v>
      </c>
      <c r="K45" s="8">
        <f>K33*Parametre!$C$119</f>
        <v>0</v>
      </c>
      <c r="L45" s="8">
        <f>L33*Parametre!$C$119</f>
        <v>0</v>
      </c>
      <c r="M45" s="8">
        <f>M33*Parametre!$C$119</f>
        <v>0</v>
      </c>
      <c r="N45" s="8">
        <f>N33*Parametre!$C$119</f>
        <v>0</v>
      </c>
      <c r="O45" s="8">
        <f>O33*Parametre!$C$119</f>
        <v>0</v>
      </c>
      <c r="P45" s="8">
        <f>P33*Parametre!$C$119</f>
        <v>0</v>
      </c>
      <c r="Q45" s="8">
        <f>Q33*Parametre!$C$119</f>
        <v>0</v>
      </c>
      <c r="R45" s="8">
        <f>R33*Parametre!$C$119</f>
        <v>0</v>
      </c>
      <c r="S45" s="8">
        <f>S33*Parametre!$C$119</f>
        <v>0</v>
      </c>
      <c r="T45" s="8">
        <f>T33*Parametre!$C$119</f>
        <v>0</v>
      </c>
      <c r="U45" s="8">
        <f>U33*Parametre!$C$119</f>
        <v>0</v>
      </c>
      <c r="V45" s="8">
        <f>V33*Parametre!$C$119</f>
        <v>0</v>
      </c>
      <c r="W45" s="8">
        <f>W33*Parametre!$C$119</f>
        <v>0</v>
      </c>
      <c r="X45" s="8">
        <f>X33*Parametre!$C$119</f>
        <v>0</v>
      </c>
      <c r="Y45" s="8">
        <f>Y33*Parametre!$C$119</f>
        <v>0</v>
      </c>
      <c r="Z45" s="8">
        <f>Z33*Parametre!$C$119</f>
        <v>0</v>
      </c>
      <c r="AA45" s="8">
        <f>AA33*Parametre!$C$119</f>
        <v>0</v>
      </c>
      <c r="AB45" s="8">
        <f>AB33*Parametre!$C$119</f>
        <v>0</v>
      </c>
      <c r="AC45" s="8">
        <f>AC33*Parametre!$C$119</f>
        <v>0</v>
      </c>
      <c r="AD45" s="8">
        <f>AD33*Parametre!$C$119</f>
        <v>0</v>
      </c>
      <c r="AE45" s="8">
        <f>AE33*Parametre!$C$119</f>
        <v>0</v>
      </c>
      <c r="AF45" s="8">
        <f>AF33*Parametre!$C$119</f>
        <v>0</v>
      </c>
      <c r="AG45" s="8">
        <f>AG33*Parametre!$C$119</f>
        <v>0</v>
      </c>
      <c r="AH45" s="8">
        <f>AH33*Parametre!$C$119</f>
        <v>0</v>
      </c>
      <c r="AI45" s="8">
        <f>AI33*Parametre!$C$119</f>
        <v>0</v>
      </c>
      <c r="AJ45" s="8">
        <f>AJ33*Parametre!$C$119</f>
        <v>0</v>
      </c>
      <c r="AK45" s="8">
        <f>AK33*Parametre!$C$119</f>
        <v>0</v>
      </c>
      <c r="AL45" s="8">
        <f>AL33*Parametre!$C$119</f>
        <v>0</v>
      </c>
      <c r="AM45" s="8">
        <f>AM33*Parametre!$C$119</f>
        <v>0</v>
      </c>
      <c r="AN45" s="8">
        <f>AN33*Parametre!$C$119</f>
        <v>0</v>
      </c>
      <c r="AO45" s="8">
        <f>AO33*Parametre!$C$119</f>
        <v>0</v>
      </c>
      <c r="AP45" s="8">
        <f>AP33*Parametre!$C$119</f>
        <v>0</v>
      </c>
      <c r="AQ45" s="8">
        <f>AQ33*Parametre!$C$119</f>
        <v>0</v>
      </c>
    </row>
    <row r="46" spans="2:43">
      <c r="B46" s="4" t="s">
        <v>478</v>
      </c>
      <c r="C46" s="13">
        <f t="shared" si="59"/>
        <v>701843.28558678646</v>
      </c>
      <c r="D46" s="13">
        <f>SUM(D43:D45)</f>
        <v>0</v>
      </c>
      <c r="E46" s="13">
        <f t="shared" ref="E46:AF46" si="60">SUM(E43:E45)</f>
        <v>0</v>
      </c>
      <c r="F46" s="13">
        <f t="shared" si="60"/>
        <v>0</v>
      </c>
      <c r="G46" s="13">
        <f t="shared" si="60"/>
        <v>-99337.776286418826</v>
      </c>
      <c r="H46" s="13">
        <f t="shared" si="60"/>
        <v>-231330.05599600208</v>
      </c>
      <c r="I46" s="13">
        <f t="shared" si="60"/>
        <v>-231330.05599600208</v>
      </c>
      <c r="J46" s="13">
        <f t="shared" si="60"/>
        <v>-231330.05599600208</v>
      </c>
      <c r="K46" s="13">
        <f t="shared" si="60"/>
        <v>-231330.05599600208</v>
      </c>
      <c r="L46" s="13">
        <f t="shared" si="60"/>
        <v>-231330.05599600208</v>
      </c>
      <c r="M46" s="13">
        <f t="shared" si="60"/>
        <v>-231330.05599600208</v>
      </c>
      <c r="N46" s="13">
        <f t="shared" si="60"/>
        <v>-231330.05599600208</v>
      </c>
      <c r="O46" s="13">
        <f t="shared" si="60"/>
        <v>-231330.05599600208</v>
      </c>
      <c r="P46" s="13">
        <f t="shared" si="60"/>
        <v>-231330.05599600208</v>
      </c>
      <c r="Q46" s="13">
        <f t="shared" si="60"/>
        <v>-231330.05599600208</v>
      </c>
      <c r="R46" s="13">
        <f t="shared" si="60"/>
        <v>-231330.05599600208</v>
      </c>
      <c r="S46" s="13">
        <f t="shared" si="60"/>
        <v>-231330.05599600208</v>
      </c>
      <c r="T46" s="13">
        <f t="shared" si="60"/>
        <v>-231330.05599600208</v>
      </c>
      <c r="U46" s="13">
        <f t="shared" si="60"/>
        <v>-231330.05599600208</v>
      </c>
      <c r="V46" s="13">
        <f t="shared" si="60"/>
        <v>-231330.05599600208</v>
      </c>
      <c r="W46" s="13">
        <f t="shared" si="60"/>
        <v>-231330.05599600208</v>
      </c>
      <c r="X46" s="13">
        <f t="shared" si="60"/>
        <v>-231330.05599600208</v>
      </c>
      <c r="Y46" s="13">
        <f t="shared" si="60"/>
        <v>-231330.05599600208</v>
      </c>
      <c r="Z46" s="13">
        <f t="shared" si="60"/>
        <v>-231330.05599600208</v>
      </c>
      <c r="AA46" s="13">
        <f t="shared" si="60"/>
        <v>6045304.0319192261</v>
      </c>
      <c r="AB46" s="13">
        <f t="shared" si="60"/>
        <v>-231330.05599600208</v>
      </c>
      <c r="AC46" s="13">
        <f t="shared" si="60"/>
        <v>-231330.05599600208</v>
      </c>
      <c r="AD46" s="13">
        <f t="shared" si="60"/>
        <v>-231330.05599600208</v>
      </c>
      <c r="AE46" s="13">
        <f t="shared" si="60"/>
        <v>-231330.05599600208</v>
      </c>
      <c r="AF46" s="13">
        <f t="shared" si="60"/>
        <v>-231330.05599600208</v>
      </c>
      <c r="AG46" s="13">
        <f t="shared" ref="AG46:AQ46" si="61">SUM(AG43:AG45)</f>
        <v>-231330.05599600208</v>
      </c>
      <c r="AH46" s="13">
        <f t="shared" si="61"/>
        <v>-231330.05599600208</v>
      </c>
      <c r="AI46" s="13">
        <f t="shared" si="61"/>
        <v>-231330.05599600208</v>
      </c>
      <c r="AJ46" s="13">
        <f t="shared" si="61"/>
        <v>-231330.05599600208</v>
      </c>
      <c r="AK46" s="13">
        <f t="shared" si="61"/>
        <v>2621098.9338180502</v>
      </c>
      <c r="AL46" s="13">
        <f t="shared" si="61"/>
        <v>-231330.05599600208</v>
      </c>
      <c r="AM46" s="13">
        <f t="shared" si="61"/>
        <v>-231330.05599600208</v>
      </c>
      <c r="AN46" s="13">
        <f t="shared" si="61"/>
        <v>-231330.05599600208</v>
      </c>
      <c r="AO46" s="13">
        <f t="shared" si="61"/>
        <v>-231330.05599600208</v>
      </c>
      <c r="AP46" s="13">
        <f t="shared" si="61"/>
        <v>-231330.05599600208</v>
      </c>
      <c r="AQ46" s="13">
        <f t="shared" si="61"/>
        <v>-231330.05599600208</v>
      </c>
    </row>
    <row r="47" spans="2:43">
      <c r="B47" s="3" t="s">
        <v>587</v>
      </c>
      <c r="C47" s="8">
        <f t="shared" si="59"/>
        <v>-54241913.149756983</v>
      </c>
      <c r="D47" s="8">
        <f>D35*Parametre!$C$113</f>
        <v>0</v>
      </c>
      <c r="E47" s="8">
        <f>E35*Parametre!$C$113</f>
        <v>0</v>
      </c>
      <c r="F47" s="8">
        <f>F35*Parametre!$C$113</f>
        <v>0</v>
      </c>
      <c r="G47" s="8">
        <f>G35*Parametre!$C$113</f>
        <v>-401762.07293878606</v>
      </c>
      <c r="H47" s="8">
        <f>H35*Parametre!$C$113</f>
        <v>-1495559.7521338386</v>
      </c>
      <c r="I47" s="8">
        <f>I35*Parametre!$C$113</f>
        <v>-1495559.7521338386</v>
      </c>
      <c r="J47" s="8">
        <f>J35*Parametre!$C$113</f>
        <v>-1495559.7521338386</v>
      </c>
      <c r="K47" s="8">
        <f>K35*Parametre!$C$113</f>
        <v>-1495559.7521338386</v>
      </c>
      <c r="L47" s="8">
        <f>L35*Parametre!$C$113</f>
        <v>-1495559.7521338386</v>
      </c>
      <c r="M47" s="8">
        <f>M35*Parametre!$C$113</f>
        <v>-1495559.7521338386</v>
      </c>
      <c r="N47" s="8">
        <f>N35*Parametre!$C$113</f>
        <v>-1495559.7521338386</v>
      </c>
      <c r="O47" s="8">
        <f>O35*Parametre!$C$113</f>
        <v>-1495559.7521338386</v>
      </c>
      <c r="P47" s="8">
        <f>P35*Parametre!$C$113</f>
        <v>-1495559.7521338386</v>
      </c>
      <c r="Q47" s="8">
        <f>Q35*Parametre!$C$113</f>
        <v>-1495559.7521338386</v>
      </c>
      <c r="R47" s="8">
        <f>R35*Parametre!$C$113</f>
        <v>-1495559.7521338386</v>
      </c>
      <c r="S47" s="8">
        <f>S35*Parametre!$C$113</f>
        <v>-1495559.7521338386</v>
      </c>
      <c r="T47" s="8">
        <f>T35*Parametre!$C$113</f>
        <v>-1495559.7521338386</v>
      </c>
      <c r="U47" s="8">
        <f>U35*Parametre!$C$113</f>
        <v>-1495559.7521338386</v>
      </c>
      <c r="V47" s="8">
        <f>V35*Parametre!$C$113</f>
        <v>-1495559.7521338386</v>
      </c>
      <c r="W47" s="8">
        <f>W35*Parametre!$C$113</f>
        <v>-1495559.7521338386</v>
      </c>
      <c r="X47" s="8">
        <f>X35*Parametre!$C$113</f>
        <v>-1495559.7521338386</v>
      </c>
      <c r="Y47" s="8">
        <f>Y35*Parametre!$C$113</f>
        <v>-1495559.7521338386</v>
      </c>
      <c r="Z47" s="8">
        <f>Z35*Parametre!$C$113</f>
        <v>-1495559.7521338386</v>
      </c>
      <c r="AA47" s="8">
        <f>AA35*Parametre!$C$113</f>
        <v>-1495559.7521338386</v>
      </c>
      <c r="AB47" s="8">
        <f>AB35*Parametre!$C$113</f>
        <v>-1495559.7521338386</v>
      </c>
      <c r="AC47" s="8">
        <f>AC35*Parametre!$C$113</f>
        <v>-1495559.7521338386</v>
      </c>
      <c r="AD47" s="8">
        <f>AD35*Parametre!$C$113</f>
        <v>-1495559.7521338386</v>
      </c>
      <c r="AE47" s="8">
        <f>AE35*Parametre!$C$113</f>
        <v>-1495559.7521338386</v>
      </c>
      <c r="AF47" s="8">
        <f>AF35*Parametre!$C$113</f>
        <v>-1495559.7521338386</v>
      </c>
      <c r="AG47" s="8">
        <f>AG35*Parametre!$C$113</f>
        <v>-1495559.7521338386</v>
      </c>
      <c r="AH47" s="8">
        <f>AH35*Parametre!$C$113</f>
        <v>-1495559.7521338386</v>
      </c>
      <c r="AI47" s="8">
        <f>AI35*Parametre!$C$113</f>
        <v>-1495559.7521338386</v>
      </c>
      <c r="AJ47" s="8">
        <f>AJ35*Parametre!$C$113</f>
        <v>-1495559.7521338386</v>
      </c>
      <c r="AK47" s="8">
        <f>AK35*Parametre!$C$113</f>
        <v>-1495559.7521338386</v>
      </c>
      <c r="AL47" s="8">
        <f>AL35*Parametre!$C$113</f>
        <v>-1495559.7521338386</v>
      </c>
      <c r="AM47" s="8">
        <f>AM35*Parametre!$C$113</f>
        <v>-1495559.7521338386</v>
      </c>
      <c r="AN47" s="8">
        <f>AN35*Parametre!$C$113</f>
        <v>-1495559.7521338386</v>
      </c>
      <c r="AO47" s="8">
        <f>AO35*Parametre!$C$113</f>
        <v>-1495559.7521338386</v>
      </c>
      <c r="AP47" s="8">
        <f>AP35*Parametre!$C$113</f>
        <v>-1495559.7521338386</v>
      </c>
      <c r="AQ47" s="8">
        <f>AQ35*Parametre!$C$113</f>
        <v>-1495559.7521338386</v>
      </c>
    </row>
    <row r="48" spans="2:43" ht="12" thickBot="1">
      <c r="B48" s="21" t="s">
        <v>69</v>
      </c>
      <c r="C48" s="22">
        <f t="shared" si="59"/>
        <v>-54241913.149756983</v>
      </c>
      <c r="D48" s="22">
        <f t="shared" ref="D48:AF48" si="62">SUM(D47:D47)</f>
        <v>0</v>
      </c>
      <c r="E48" s="22">
        <f t="shared" si="62"/>
        <v>0</v>
      </c>
      <c r="F48" s="22">
        <f t="shared" si="62"/>
        <v>0</v>
      </c>
      <c r="G48" s="22">
        <f t="shared" si="62"/>
        <v>-401762.07293878606</v>
      </c>
      <c r="H48" s="22">
        <f t="shared" si="62"/>
        <v>-1495559.7521338386</v>
      </c>
      <c r="I48" s="22">
        <f t="shared" si="62"/>
        <v>-1495559.7521338386</v>
      </c>
      <c r="J48" s="22">
        <f t="shared" si="62"/>
        <v>-1495559.7521338386</v>
      </c>
      <c r="K48" s="22">
        <f t="shared" si="62"/>
        <v>-1495559.7521338386</v>
      </c>
      <c r="L48" s="22">
        <f t="shared" si="62"/>
        <v>-1495559.7521338386</v>
      </c>
      <c r="M48" s="22">
        <f t="shared" si="62"/>
        <v>-1495559.7521338386</v>
      </c>
      <c r="N48" s="22">
        <f t="shared" si="62"/>
        <v>-1495559.7521338386</v>
      </c>
      <c r="O48" s="22">
        <f t="shared" si="62"/>
        <v>-1495559.7521338386</v>
      </c>
      <c r="P48" s="22">
        <f t="shared" si="62"/>
        <v>-1495559.7521338386</v>
      </c>
      <c r="Q48" s="22">
        <f t="shared" si="62"/>
        <v>-1495559.7521338386</v>
      </c>
      <c r="R48" s="22">
        <f t="shared" si="62"/>
        <v>-1495559.7521338386</v>
      </c>
      <c r="S48" s="22">
        <f t="shared" si="62"/>
        <v>-1495559.7521338386</v>
      </c>
      <c r="T48" s="22">
        <f t="shared" si="62"/>
        <v>-1495559.7521338386</v>
      </c>
      <c r="U48" s="22">
        <f t="shared" si="62"/>
        <v>-1495559.7521338386</v>
      </c>
      <c r="V48" s="22">
        <f t="shared" si="62"/>
        <v>-1495559.7521338386</v>
      </c>
      <c r="W48" s="22">
        <f t="shared" si="62"/>
        <v>-1495559.7521338386</v>
      </c>
      <c r="X48" s="22">
        <f t="shared" si="62"/>
        <v>-1495559.7521338386</v>
      </c>
      <c r="Y48" s="22">
        <f t="shared" si="62"/>
        <v>-1495559.7521338386</v>
      </c>
      <c r="Z48" s="22">
        <f t="shared" si="62"/>
        <v>-1495559.7521338386</v>
      </c>
      <c r="AA48" s="22">
        <f t="shared" si="62"/>
        <v>-1495559.7521338386</v>
      </c>
      <c r="AB48" s="22">
        <f t="shared" si="62"/>
        <v>-1495559.7521338386</v>
      </c>
      <c r="AC48" s="22">
        <f t="shared" si="62"/>
        <v>-1495559.7521338386</v>
      </c>
      <c r="AD48" s="22">
        <f t="shared" si="62"/>
        <v>-1495559.7521338386</v>
      </c>
      <c r="AE48" s="22">
        <f t="shared" si="62"/>
        <v>-1495559.7521338386</v>
      </c>
      <c r="AF48" s="22">
        <f t="shared" si="62"/>
        <v>-1495559.7521338386</v>
      </c>
      <c r="AG48" s="22">
        <f t="shared" ref="AG48:AQ48" si="63">SUM(AG47:AG47)</f>
        <v>-1495559.7521338386</v>
      </c>
      <c r="AH48" s="22">
        <f t="shared" si="63"/>
        <v>-1495559.7521338386</v>
      </c>
      <c r="AI48" s="22">
        <f t="shared" si="63"/>
        <v>-1495559.7521338386</v>
      </c>
      <c r="AJ48" s="22">
        <f t="shared" si="63"/>
        <v>-1495559.7521338386</v>
      </c>
      <c r="AK48" s="22">
        <f t="shared" si="63"/>
        <v>-1495559.7521338386</v>
      </c>
      <c r="AL48" s="22">
        <f t="shared" si="63"/>
        <v>-1495559.7521338386</v>
      </c>
      <c r="AM48" s="22">
        <f t="shared" si="63"/>
        <v>-1495559.7521338386</v>
      </c>
      <c r="AN48" s="22">
        <f t="shared" si="63"/>
        <v>-1495559.7521338386</v>
      </c>
      <c r="AO48" s="22">
        <f t="shared" si="63"/>
        <v>-1495559.7521338386</v>
      </c>
      <c r="AP48" s="22">
        <f t="shared" si="63"/>
        <v>-1495559.7521338386</v>
      </c>
      <c r="AQ48" s="22">
        <f t="shared" si="63"/>
        <v>-1495559.7521338386</v>
      </c>
    </row>
    <row r="49" spans="2:43" ht="12" thickTop="1">
      <c r="B49" s="23" t="s">
        <v>68</v>
      </c>
      <c r="C49" s="24">
        <f t="shared" si="59"/>
        <v>-53540069.864170171</v>
      </c>
      <c r="D49" s="24">
        <f t="shared" ref="D49:AF49" si="64">SUM(D46,D48)</f>
        <v>0</v>
      </c>
      <c r="E49" s="24">
        <f t="shared" si="64"/>
        <v>0</v>
      </c>
      <c r="F49" s="24">
        <f t="shared" si="64"/>
        <v>0</v>
      </c>
      <c r="G49" s="24">
        <f t="shared" si="64"/>
        <v>-501099.8492252049</v>
      </c>
      <c r="H49" s="24">
        <f t="shared" si="64"/>
        <v>-1726889.8081298408</v>
      </c>
      <c r="I49" s="24">
        <f t="shared" si="64"/>
        <v>-1726889.8081298408</v>
      </c>
      <c r="J49" s="24">
        <f t="shared" si="64"/>
        <v>-1726889.8081298408</v>
      </c>
      <c r="K49" s="24">
        <f t="shared" si="64"/>
        <v>-1726889.8081298408</v>
      </c>
      <c r="L49" s="24">
        <f t="shared" si="64"/>
        <v>-1726889.8081298408</v>
      </c>
      <c r="M49" s="24">
        <f t="shared" si="64"/>
        <v>-1726889.8081298408</v>
      </c>
      <c r="N49" s="24">
        <f t="shared" si="64"/>
        <v>-1726889.8081298408</v>
      </c>
      <c r="O49" s="24">
        <f t="shared" si="64"/>
        <v>-1726889.8081298408</v>
      </c>
      <c r="P49" s="24">
        <f t="shared" si="64"/>
        <v>-1726889.8081298408</v>
      </c>
      <c r="Q49" s="24">
        <f t="shared" si="64"/>
        <v>-1726889.8081298408</v>
      </c>
      <c r="R49" s="24">
        <f t="shared" si="64"/>
        <v>-1726889.8081298408</v>
      </c>
      <c r="S49" s="24">
        <f t="shared" si="64"/>
        <v>-1726889.8081298408</v>
      </c>
      <c r="T49" s="24">
        <f t="shared" si="64"/>
        <v>-1726889.8081298408</v>
      </c>
      <c r="U49" s="24">
        <f t="shared" si="64"/>
        <v>-1726889.8081298408</v>
      </c>
      <c r="V49" s="24">
        <f t="shared" si="64"/>
        <v>-1726889.8081298408</v>
      </c>
      <c r="W49" s="24">
        <f t="shared" si="64"/>
        <v>-1726889.8081298408</v>
      </c>
      <c r="X49" s="24">
        <f t="shared" si="64"/>
        <v>-1726889.8081298408</v>
      </c>
      <c r="Y49" s="24">
        <f t="shared" si="64"/>
        <v>-1726889.8081298408</v>
      </c>
      <c r="Z49" s="24">
        <f t="shared" si="64"/>
        <v>-1726889.8081298408</v>
      </c>
      <c r="AA49" s="24">
        <f t="shared" si="64"/>
        <v>4549744.2797853872</v>
      </c>
      <c r="AB49" s="24">
        <f t="shared" si="64"/>
        <v>-1726889.8081298408</v>
      </c>
      <c r="AC49" s="24">
        <f t="shared" si="64"/>
        <v>-1726889.8081298408</v>
      </c>
      <c r="AD49" s="24">
        <f t="shared" si="64"/>
        <v>-1726889.8081298408</v>
      </c>
      <c r="AE49" s="24">
        <f t="shared" si="64"/>
        <v>-1726889.8081298408</v>
      </c>
      <c r="AF49" s="24">
        <f t="shared" si="64"/>
        <v>-1726889.8081298408</v>
      </c>
      <c r="AG49" s="24">
        <f t="shared" ref="AG49:AQ49" si="65">SUM(AG46,AG48)</f>
        <v>-1726889.8081298408</v>
      </c>
      <c r="AH49" s="24">
        <f t="shared" si="65"/>
        <v>-1726889.8081298408</v>
      </c>
      <c r="AI49" s="24">
        <f t="shared" si="65"/>
        <v>-1726889.8081298408</v>
      </c>
      <c r="AJ49" s="24">
        <f t="shared" si="65"/>
        <v>-1726889.8081298408</v>
      </c>
      <c r="AK49" s="24">
        <f t="shared" si="65"/>
        <v>1125539.1816842116</v>
      </c>
      <c r="AL49" s="24">
        <f t="shared" si="65"/>
        <v>-1726889.8081298408</v>
      </c>
      <c r="AM49" s="24">
        <f t="shared" si="65"/>
        <v>-1726889.8081298408</v>
      </c>
      <c r="AN49" s="24">
        <f t="shared" si="65"/>
        <v>-1726889.8081298408</v>
      </c>
      <c r="AO49" s="24">
        <f t="shared" si="65"/>
        <v>-1726889.8081298408</v>
      </c>
      <c r="AP49" s="24">
        <f t="shared" si="65"/>
        <v>-1726889.8081298408</v>
      </c>
      <c r="AQ49" s="24">
        <f t="shared" si="65"/>
        <v>-1726889.8081298408</v>
      </c>
    </row>
    <row r="51" spans="2:43">
      <c r="B51" s="2" t="s">
        <v>248</v>
      </c>
    </row>
    <row r="52" spans="2:43">
      <c r="B52" s="2" t="s">
        <v>249</v>
      </c>
    </row>
    <row r="54" spans="2:43">
      <c r="C54" s="3"/>
      <c r="D54" s="3" t="s">
        <v>9</v>
      </c>
    </row>
    <row r="55" spans="2:43" s="319" customFormat="1">
      <c r="B55" s="321" t="s">
        <v>589</v>
      </c>
      <c r="C55" s="321"/>
      <c r="D55" s="164">
        <v>1</v>
      </c>
      <c r="E55" s="164">
        <v>2</v>
      </c>
      <c r="F55" s="164">
        <v>3</v>
      </c>
      <c r="G55" s="164">
        <v>4</v>
      </c>
      <c r="H55" s="164">
        <v>5</v>
      </c>
      <c r="I55" s="164">
        <v>6</v>
      </c>
      <c r="J55" s="164">
        <v>7</v>
      </c>
      <c r="K55" s="164">
        <v>8</v>
      </c>
      <c r="L55" s="164">
        <v>9</v>
      </c>
      <c r="M55" s="164">
        <v>10</v>
      </c>
      <c r="N55" s="164">
        <v>11</v>
      </c>
      <c r="O55" s="164">
        <v>12</v>
      </c>
      <c r="P55" s="164">
        <v>13</v>
      </c>
      <c r="Q55" s="164">
        <v>14</v>
      </c>
      <c r="R55" s="164">
        <v>15</v>
      </c>
      <c r="S55" s="164">
        <v>16</v>
      </c>
      <c r="T55" s="164">
        <v>17</v>
      </c>
      <c r="U55" s="164">
        <v>18</v>
      </c>
      <c r="V55" s="164">
        <v>19</v>
      </c>
      <c r="W55" s="164">
        <v>20</v>
      </c>
      <c r="X55" s="164">
        <v>21</v>
      </c>
      <c r="Y55" s="164">
        <v>22</v>
      </c>
      <c r="Z55" s="164">
        <v>23</v>
      </c>
      <c r="AA55" s="164">
        <v>24</v>
      </c>
      <c r="AB55" s="164">
        <v>25</v>
      </c>
      <c r="AC55" s="164">
        <v>26</v>
      </c>
      <c r="AD55" s="164">
        <v>27</v>
      </c>
      <c r="AE55" s="164">
        <v>28</v>
      </c>
      <c r="AF55" s="164">
        <v>29</v>
      </c>
      <c r="AG55" s="164">
        <v>30</v>
      </c>
      <c r="AH55" s="164">
        <v>31</v>
      </c>
      <c r="AI55" s="164">
        <v>32</v>
      </c>
      <c r="AJ55" s="164">
        <v>33</v>
      </c>
      <c r="AK55" s="164">
        <v>34</v>
      </c>
      <c r="AL55" s="164">
        <v>35</v>
      </c>
      <c r="AM55" s="164">
        <v>36</v>
      </c>
      <c r="AN55" s="164">
        <v>37</v>
      </c>
      <c r="AO55" s="164">
        <v>38</v>
      </c>
      <c r="AP55" s="164">
        <v>39</v>
      </c>
      <c r="AQ55" s="164">
        <v>40</v>
      </c>
    </row>
    <row r="56" spans="2:43" s="319" customFormat="1">
      <c r="B56" s="321" t="s">
        <v>54</v>
      </c>
      <c r="C56" s="321" t="s">
        <v>8</v>
      </c>
      <c r="D56" s="322">
        <f>D42</f>
        <v>2024</v>
      </c>
      <c r="E56" s="322">
        <f t="shared" ref="E56:AF56" si="66">E42</f>
        <v>2025</v>
      </c>
      <c r="F56" s="322">
        <f t="shared" si="66"/>
        <v>2026</v>
      </c>
      <c r="G56" s="322">
        <f t="shared" si="66"/>
        <v>2027</v>
      </c>
      <c r="H56" s="322">
        <f t="shared" si="66"/>
        <v>2028</v>
      </c>
      <c r="I56" s="322">
        <f t="shared" si="66"/>
        <v>2029</v>
      </c>
      <c r="J56" s="322">
        <f t="shared" si="66"/>
        <v>2030</v>
      </c>
      <c r="K56" s="322">
        <f t="shared" si="66"/>
        <v>2031</v>
      </c>
      <c r="L56" s="322">
        <f t="shared" si="66"/>
        <v>2032</v>
      </c>
      <c r="M56" s="322">
        <f t="shared" si="66"/>
        <v>2033</v>
      </c>
      <c r="N56" s="322">
        <f t="shared" si="66"/>
        <v>2034</v>
      </c>
      <c r="O56" s="322">
        <f t="shared" si="66"/>
        <v>2035</v>
      </c>
      <c r="P56" s="322">
        <f t="shared" si="66"/>
        <v>2036</v>
      </c>
      <c r="Q56" s="322">
        <f t="shared" si="66"/>
        <v>2037</v>
      </c>
      <c r="R56" s="322">
        <f t="shared" si="66"/>
        <v>2038</v>
      </c>
      <c r="S56" s="322">
        <f t="shared" si="66"/>
        <v>2039</v>
      </c>
      <c r="T56" s="322">
        <f t="shared" si="66"/>
        <v>2040</v>
      </c>
      <c r="U56" s="322">
        <f t="shared" si="66"/>
        <v>2041</v>
      </c>
      <c r="V56" s="322">
        <f t="shared" si="66"/>
        <v>2042</v>
      </c>
      <c r="W56" s="322">
        <f t="shared" si="66"/>
        <v>2043</v>
      </c>
      <c r="X56" s="322">
        <f t="shared" si="66"/>
        <v>2044</v>
      </c>
      <c r="Y56" s="322">
        <f t="shared" si="66"/>
        <v>2045</v>
      </c>
      <c r="Z56" s="322">
        <f t="shared" si="66"/>
        <v>2046</v>
      </c>
      <c r="AA56" s="322">
        <f t="shared" si="66"/>
        <v>2047</v>
      </c>
      <c r="AB56" s="322">
        <f t="shared" si="66"/>
        <v>2048</v>
      </c>
      <c r="AC56" s="322">
        <f t="shared" si="66"/>
        <v>2049</v>
      </c>
      <c r="AD56" s="322">
        <f t="shared" si="66"/>
        <v>2050</v>
      </c>
      <c r="AE56" s="322">
        <f t="shared" si="66"/>
        <v>2051</v>
      </c>
      <c r="AF56" s="322">
        <f t="shared" si="66"/>
        <v>2052</v>
      </c>
      <c r="AG56" s="322">
        <f t="shared" ref="AG56:AQ56" si="67">AG42</f>
        <v>2053</v>
      </c>
      <c r="AH56" s="322">
        <f t="shared" si="67"/>
        <v>2054</v>
      </c>
      <c r="AI56" s="322">
        <f t="shared" si="67"/>
        <v>2055</v>
      </c>
      <c r="AJ56" s="322">
        <f t="shared" si="67"/>
        <v>2056</v>
      </c>
      <c r="AK56" s="322">
        <f t="shared" si="67"/>
        <v>2057</v>
      </c>
      <c r="AL56" s="322">
        <f t="shared" si="67"/>
        <v>2058</v>
      </c>
      <c r="AM56" s="322">
        <f t="shared" si="67"/>
        <v>2059</v>
      </c>
      <c r="AN56" s="322">
        <f t="shared" si="67"/>
        <v>2060</v>
      </c>
      <c r="AO56" s="322">
        <f t="shared" si="67"/>
        <v>2061</v>
      </c>
      <c r="AP56" s="322">
        <f t="shared" si="67"/>
        <v>2062</v>
      </c>
      <c r="AQ56" s="322">
        <f t="shared" si="67"/>
        <v>2063</v>
      </c>
    </row>
    <row r="57" spans="2:43" s="319" customFormat="1" ht="12.75">
      <c r="B57" s="323" t="s">
        <v>590</v>
      </c>
      <c r="C57" s="173">
        <f>SUM(D57:AQ57)</f>
        <v>-411145038.26521152</v>
      </c>
      <c r="D57" s="324">
        <f>'04 Prevádzkové príjmy'!D9-'03 Prevádzkové výdavky'!D13</f>
        <v>-10278625.956630288</v>
      </c>
      <c r="E57" s="324">
        <f>'04 Prevádzkové príjmy'!E9-'03 Prevádzkové výdavky'!E13</f>
        <v>-10278625.956630288</v>
      </c>
      <c r="F57" s="324">
        <f>'04 Prevádzkové príjmy'!F9-'03 Prevádzkové výdavky'!F13</f>
        <v>-10278625.956630288</v>
      </c>
      <c r="G57" s="324">
        <f>'04 Prevádzkové príjmy'!G9-'03 Prevádzkové výdavky'!G13</f>
        <v>-10278625.956630288</v>
      </c>
      <c r="H57" s="324">
        <f>'04 Prevádzkové príjmy'!H9-'03 Prevádzkové výdavky'!H13</f>
        <v>-10278625.956630288</v>
      </c>
      <c r="I57" s="324">
        <f>'04 Prevádzkové príjmy'!I9-'03 Prevádzkové výdavky'!I13</f>
        <v>-10278625.956630288</v>
      </c>
      <c r="J57" s="324">
        <f>'04 Prevádzkové príjmy'!J9-'03 Prevádzkové výdavky'!J13</f>
        <v>-10278625.956630288</v>
      </c>
      <c r="K57" s="324">
        <f>'04 Prevádzkové príjmy'!K9-'03 Prevádzkové výdavky'!K13</f>
        <v>-10278625.956630288</v>
      </c>
      <c r="L57" s="324">
        <f>'04 Prevádzkové príjmy'!L9-'03 Prevádzkové výdavky'!L13</f>
        <v>-10278625.956630288</v>
      </c>
      <c r="M57" s="324">
        <f>'04 Prevádzkové príjmy'!M9-'03 Prevádzkové výdavky'!M13</f>
        <v>-10278625.956630288</v>
      </c>
      <c r="N57" s="324">
        <f>'04 Prevádzkové príjmy'!N9-'03 Prevádzkové výdavky'!N13</f>
        <v>-10278625.956630288</v>
      </c>
      <c r="O57" s="324">
        <f>'04 Prevádzkové príjmy'!O9-'03 Prevádzkové výdavky'!O13</f>
        <v>-10278625.956630288</v>
      </c>
      <c r="P57" s="324">
        <f>'04 Prevádzkové príjmy'!P9-'03 Prevádzkové výdavky'!P13</f>
        <v>-10278625.956630288</v>
      </c>
      <c r="Q57" s="324">
        <f>'04 Prevádzkové príjmy'!Q9-'03 Prevádzkové výdavky'!Q13</f>
        <v>-10278625.956630288</v>
      </c>
      <c r="R57" s="324">
        <f>'04 Prevádzkové príjmy'!R9-'03 Prevádzkové výdavky'!R13</f>
        <v>-10278625.956630288</v>
      </c>
      <c r="S57" s="324">
        <f>'04 Prevádzkové príjmy'!S9-'03 Prevádzkové výdavky'!S13</f>
        <v>-10278625.956630288</v>
      </c>
      <c r="T57" s="324">
        <f>'04 Prevádzkové príjmy'!T9-'03 Prevádzkové výdavky'!T13</f>
        <v>-10278625.956630288</v>
      </c>
      <c r="U57" s="324">
        <f>'04 Prevádzkové príjmy'!U9-'03 Prevádzkové výdavky'!U13</f>
        <v>-10278625.956630288</v>
      </c>
      <c r="V57" s="324">
        <f>'04 Prevádzkové príjmy'!V9-'03 Prevádzkové výdavky'!V13</f>
        <v>-10278625.956630288</v>
      </c>
      <c r="W57" s="324">
        <f>'04 Prevádzkové príjmy'!W9-'03 Prevádzkové výdavky'!W13</f>
        <v>-10278625.956630288</v>
      </c>
      <c r="X57" s="324">
        <f>'04 Prevádzkové príjmy'!X9-'03 Prevádzkové výdavky'!X13</f>
        <v>-10278625.956630288</v>
      </c>
      <c r="Y57" s="324">
        <f>'04 Prevádzkové príjmy'!Y9-'03 Prevádzkové výdavky'!Y13</f>
        <v>-10278625.956630288</v>
      </c>
      <c r="Z57" s="324">
        <f>'04 Prevádzkové príjmy'!Z9-'03 Prevádzkové výdavky'!Z13</f>
        <v>-10278625.956630288</v>
      </c>
      <c r="AA57" s="324">
        <f>'04 Prevádzkové príjmy'!AA9-'03 Prevádzkové výdavky'!AA13</f>
        <v>-10278625.956630288</v>
      </c>
      <c r="AB57" s="324">
        <f>'04 Prevádzkové príjmy'!AB9-'03 Prevádzkové výdavky'!AB13</f>
        <v>-10278625.956630288</v>
      </c>
      <c r="AC57" s="324">
        <f>'04 Prevádzkové príjmy'!AC9-'03 Prevádzkové výdavky'!AC13</f>
        <v>-10278625.956630288</v>
      </c>
      <c r="AD57" s="324">
        <f>'04 Prevádzkové príjmy'!AD9-'03 Prevádzkové výdavky'!AD13</f>
        <v>-10278625.956630288</v>
      </c>
      <c r="AE57" s="324">
        <f>'04 Prevádzkové príjmy'!AE9-'03 Prevádzkové výdavky'!AE13</f>
        <v>-10278625.956630288</v>
      </c>
      <c r="AF57" s="324">
        <f>'04 Prevádzkové príjmy'!AF9-'03 Prevádzkové výdavky'!AF13</f>
        <v>-10278625.956630288</v>
      </c>
      <c r="AG57" s="324">
        <f>'04 Prevádzkové príjmy'!AQ9-'03 Prevádzkové výdavky'!AG13</f>
        <v>-10278625.956630288</v>
      </c>
      <c r="AH57" s="324">
        <f>'04 Prevádzkové príjmy'!AR9-'03 Prevádzkové výdavky'!AH13</f>
        <v>-10278625.956630288</v>
      </c>
      <c r="AI57" s="324">
        <f>'04 Prevádzkové príjmy'!AS9-'03 Prevádzkové výdavky'!AI13</f>
        <v>-10278625.956630288</v>
      </c>
      <c r="AJ57" s="324">
        <f>'04 Prevádzkové príjmy'!AT9-'03 Prevádzkové výdavky'!AJ13</f>
        <v>-10278625.956630288</v>
      </c>
      <c r="AK57" s="324">
        <f>'04 Prevádzkové príjmy'!AU9-'03 Prevádzkové výdavky'!AK13</f>
        <v>-10278625.956630288</v>
      </c>
      <c r="AL57" s="324">
        <f>'04 Prevádzkové príjmy'!AV9-'03 Prevádzkové výdavky'!AL13</f>
        <v>-10278625.956630288</v>
      </c>
      <c r="AM57" s="324">
        <f>'04 Prevádzkové príjmy'!AW9-'03 Prevádzkové výdavky'!AM13</f>
        <v>-10278625.956630288</v>
      </c>
      <c r="AN57" s="324">
        <f>'04 Prevádzkové príjmy'!AX9-'03 Prevádzkové výdavky'!AN13</f>
        <v>-10278625.956630288</v>
      </c>
      <c r="AO57" s="324">
        <f>'04 Prevádzkové príjmy'!AY9-'03 Prevádzkové výdavky'!AO13</f>
        <v>-10278625.956630288</v>
      </c>
      <c r="AP57" s="324">
        <f>'04 Prevádzkové príjmy'!AZ9-'03 Prevádzkové výdavky'!AP13</f>
        <v>-10278625.956630288</v>
      </c>
      <c r="AQ57" s="324">
        <f>'04 Prevádzkové príjmy'!BA9-'03 Prevádzkové výdavky'!AQ13</f>
        <v>-10278625.956630288</v>
      </c>
    </row>
    <row r="58" spans="2:43" s="319" customFormat="1" ht="12.75">
      <c r="B58" s="323" t="s">
        <v>591</v>
      </c>
      <c r="C58" s="173">
        <f>SUM(D58:AQ58)</f>
        <v>-351656071.74946678</v>
      </c>
      <c r="D58" s="324">
        <f>'04 Prevádzkové príjmy'!D17-'03 Prevádzkové výdavky'!D25</f>
        <v>-10278625.956630288</v>
      </c>
      <c r="E58" s="324">
        <f>'04 Prevádzkové príjmy'!E17-'03 Prevádzkové výdavky'!E25</f>
        <v>-10278625.956630288</v>
      </c>
      <c r="F58" s="324">
        <f>'04 Prevádzkové príjmy'!F17-'03 Prevádzkové výdavky'!F25</f>
        <v>-10278625.956630288</v>
      </c>
      <c r="G58" s="324">
        <f>'04 Prevádzkové príjmy'!G17-'03 Prevádzkové výdavky'!G25</f>
        <v>-9721848.3463800605</v>
      </c>
      <c r="H58" s="324">
        <f>'04 Prevádzkové príjmy'!H17-'03 Prevádzkové výdavky'!H25</f>
        <v>-8359859.5031526871</v>
      </c>
      <c r="I58" s="324">
        <f>'04 Prevádzkové príjmy'!I17-'03 Prevádzkové výdavky'!I25</f>
        <v>-8359859.5031526871</v>
      </c>
      <c r="J58" s="324">
        <f>'04 Prevádzkové príjmy'!J17-'03 Prevádzkové výdavky'!J25</f>
        <v>-8359859.5031526871</v>
      </c>
      <c r="K58" s="324">
        <f>'04 Prevádzkové príjmy'!K17-'03 Prevádzkové výdavky'!K25</f>
        <v>-8359859.5031526871</v>
      </c>
      <c r="L58" s="324">
        <f>'04 Prevádzkové príjmy'!L17-'03 Prevádzkové výdavky'!L25</f>
        <v>-8359859.5031526871</v>
      </c>
      <c r="M58" s="324">
        <f>'04 Prevádzkové príjmy'!M17-'03 Prevádzkové výdavky'!M25</f>
        <v>-8359859.5031526871</v>
      </c>
      <c r="N58" s="324">
        <f>'04 Prevádzkové príjmy'!N17-'03 Prevádzkové výdavky'!N25</f>
        <v>-8359859.5031526871</v>
      </c>
      <c r="O58" s="324">
        <f>'04 Prevádzkové príjmy'!O17-'03 Prevádzkové výdavky'!O25</f>
        <v>-8359859.5031526871</v>
      </c>
      <c r="P58" s="324">
        <f>'04 Prevádzkové príjmy'!P17-'03 Prevádzkové výdavky'!P25</f>
        <v>-8359859.5031526871</v>
      </c>
      <c r="Q58" s="324">
        <f>'04 Prevádzkové príjmy'!Q17-'03 Prevádzkové výdavky'!Q25</f>
        <v>-8359859.5031526871</v>
      </c>
      <c r="R58" s="324">
        <f>'04 Prevádzkové príjmy'!R17-'03 Prevádzkové výdavky'!R25</f>
        <v>-8359859.5031526871</v>
      </c>
      <c r="S58" s="324">
        <f>'04 Prevádzkové príjmy'!S17-'03 Prevádzkové výdavky'!S25</f>
        <v>-8359859.5031526871</v>
      </c>
      <c r="T58" s="324">
        <f>'04 Prevádzkové príjmy'!T17-'03 Prevádzkové výdavky'!T25</f>
        <v>-8359859.5031526871</v>
      </c>
      <c r="U58" s="324">
        <f>'04 Prevádzkové príjmy'!U17-'03 Prevádzkové výdavky'!U25</f>
        <v>-8359859.5031526871</v>
      </c>
      <c r="V58" s="324">
        <f>'04 Prevádzkové príjmy'!V17-'03 Prevádzkové výdavky'!V25</f>
        <v>-8359859.5031526871</v>
      </c>
      <c r="W58" s="324">
        <f>'04 Prevádzkové príjmy'!W17-'03 Prevádzkové výdavky'!W25</f>
        <v>-8359859.5031526871</v>
      </c>
      <c r="X58" s="324">
        <f>'04 Prevádzkové príjmy'!X17-'03 Prevádzkové výdavky'!X25</f>
        <v>-8359859.5031526871</v>
      </c>
      <c r="Y58" s="324">
        <f>'04 Prevádzkové príjmy'!Y17-'03 Prevádzkové výdavky'!Y25</f>
        <v>-8359859.5031526871</v>
      </c>
      <c r="Z58" s="324">
        <f>'04 Prevádzkové príjmy'!Z17-'03 Prevádzkové výdavky'!Z25</f>
        <v>-8359859.5031526871</v>
      </c>
      <c r="AA58" s="324">
        <f>'04 Prevádzkové príjmy'!AA17-'03 Prevádzkové výdavky'!AA25</f>
        <v>-15333897.378614051</v>
      </c>
      <c r="AB58" s="324">
        <f>'04 Prevádzkové príjmy'!AB17-'03 Prevádzkové výdavky'!AB25</f>
        <v>-8359859.5031526871</v>
      </c>
      <c r="AC58" s="324">
        <f>'04 Prevádzkové príjmy'!AC17-'03 Prevádzkové výdavky'!AC25</f>
        <v>-8359859.5031526871</v>
      </c>
      <c r="AD58" s="324">
        <f>'04 Prevádzkové príjmy'!AD17-'03 Prevádzkové výdavky'!AD25</f>
        <v>-8359859.5031526871</v>
      </c>
      <c r="AE58" s="324">
        <f>'04 Prevádzkové príjmy'!AE17-'03 Prevádzkové výdavky'!AE25</f>
        <v>-8359859.5031526871</v>
      </c>
      <c r="AF58" s="324">
        <f>'04 Prevádzkové príjmy'!AF17-'03 Prevádzkové výdavky'!AF25</f>
        <v>-8359859.5031526871</v>
      </c>
      <c r="AG58" s="324">
        <f>'04 Prevádzkové príjmy'!AQ17-'03 Prevádzkové výdavky'!AG25</f>
        <v>-8359859.5031526871</v>
      </c>
      <c r="AH58" s="324">
        <f>'04 Prevádzkové príjmy'!AR17-'03 Prevádzkové výdavky'!AH25</f>
        <v>-8359859.5031526871</v>
      </c>
      <c r="AI58" s="324">
        <f>'04 Prevádzkové príjmy'!AS17-'03 Prevádzkové výdavky'!AI25</f>
        <v>-8359859.5031526871</v>
      </c>
      <c r="AJ58" s="324">
        <f>'04 Prevádzkové príjmy'!AT17-'03 Prevádzkové výdavky'!AJ25</f>
        <v>-8359859.5031526871</v>
      </c>
      <c r="AK58" s="324">
        <f>'04 Prevádzkové príjmy'!AU17-'03 Prevádzkové výdavky'!AK25</f>
        <v>-11529225.047390522</v>
      </c>
      <c r="AL58" s="324">
        <f>'04 Prevádzkové príjmy'!AV17-'03 Prevádzkové výdavky'!AL25</f>
        <v>-8359859.5031526871</v>
      </c>
      <c r="AM58" s="324">
        <f>'04 Prevádzkové príjmy'!AW17-'03 Prevádzkové výdavky'!AM25</f>
        <v>-8359859.5031526871</v>
      </c>
      <c r="AN58" s="324">
        <f>'04 Prevádzkové príjmy'!AX17-'03 Prevádzkové výdavky'!AN25</f>
        <v>-8359859.5031526871</v>
      </c>
      <c r="AO58" s="324">
        <f>'04 Prevádzkové príjmy'!AY17-'03 Prevádzkové výdavky'!AO25</f>
        <v>-8359859.5031526871</v>
      </c>
      <c r="AP58" s="324">
        <f>'04 Prevádzkové príjmy'!AZ17-'03 Prevádzkové výdavky'!AP25</f>
        <v>-8359859.5031526871</v>
      </c>
      <c r="AQ58" s="324">
        <f>'04 Prevádzkové príjmy'!BA17-'03 Prevádzkové výdavky'!AQ25</f>
        <v>-8359859.5031526871</v>
      </c>
    </row>
    <row r="59" spans="2:43" s="319" customFormat="1" ht="12.75">
      <c r="B59" s="323" t="s">
        <v>592</v>
      </c>
      <c r="C59" s="173">
        <f>SUM(D59:AQ59)</f>
        <v>411145038.26521152</v>
      </c>
      <c r="D59" s="325">
        <f>IF(D57&lt;0,D57*-1,0)</f>
        <v>10278625.956630288</v>
      </c>
      <c r="E59" s="325">
        <f t="shared" ref="E59:AF60" si="68">IF(E57&lt;0,E57*-1,0)</f>
        <v>10278625.956630288</v>
      </c>
      <c r="F59" s="325">
        <f t="shared" si="68"/>
        <v>10278625.956630288</v>
      </c>
      <c r="G59" s="325">
        <f t="shared" si="68"/>
        <v>10278625.956630288</v>
      </c>
      <c r="H59" s="325">
        <f t="shared" si="68"/>
        <v>10278625.956630288</v>
      </c>
      <c r="I59" s="325">
        <f t="shared" si="68"/>
        <v>10278625.956630288</v>
      </c>
      <c r="J59" s="325">
        <f t="shared" si="68"/>
        <v>10278625.956630288</v>
      </c>
      <c r="K59" s="325">
        <f t="shared" si="68"/>
        <v>10278625.956630288</v>
      </c>
      <c r="L59" s="325">
        <f t="shared" si="68"/>
        <v>10278625.956630288</v>
      </c>
      <c r="M59" s="325">
        <f t="shared" si="68"/>
        <v>10278625.956630288</v>
      </c>
      <c r="N59" s="325">
        <f t="shared" si="68"/>
        <v>10278625.956630288</v>
      </c>
      <c r="O59" s="325">
        <f t="shared" si="68"/>
        <v>10278625.956630288</v>
      </c>
      <c r="P59" s="325">
        <f t="shared" si="68"/>
        <v>10278625.956630288</v>
      </c>
      <c r="Q59" s="325">
        <f t="shared" si="68"/>
        <v>10278625.956630288</v>
      </c>
      <c r="R59" s="325">
        <f t="shared" si="68"/>
        <v>10278625.956630288</v>
      </c>
      <c r="S59" s="325">
        <f t="shared" si="68"/>
        <v>10278625.956630288</v>
      </c>
      <c r="T59" s="325">
        <f t="shared" si="68"/>
        <v>10278625.956630288</v>
      </c>
      <c r="U59" s="325">
        <f t="shared" si="68"/>
        <v>10278625.956630288</v>
      </c>
      <c r="V59" s="325">
        <f t="shared" si="68"/>
        <v>10278625.956630288</v>
      </c>
      <c r="W59" s="325">
        <f t="shared" si="68"/>
        <v>10278625.956630288</v>
      </c>
      <c r="X59" s="325">
        <f t="shared" si="68"/>
        <v>10278625.956630288</v>
      </c>
      <c r="Y59" s="325">
        <f t="shared" si="68"/>
        <v>10278625.956630288</v>
      </c>
      <c r="Z59" s="325">
        <f t="shared" si="68"/>
        <v>10278625.956630288</v>
      </c>
      <c r="AA59" s="325">
        <f t="shared" si="68"/>
        <v>10278625.956630288</v>
      </c>
      <c r="AB59" s="325">
        <f t="shared" si="68"/>
        <v>10278625.956630288</v>
      </c>
      <c r="AC59" s="325">
        <f t="shared" si="68"/>
        <v>10278625.956630288</v>
      </c>
      <c r="AD59" s="325">
        <f t="shared" si="68"/>
        <v>10278625.956630288</v>
      </c>
      <c r="AE59" s="325">
        <f t="shared" si="68"/>
        <v>10278625.956630288</v>
      </c>
      <c r="AF59" s="325">
        <f t="shared" si="68"/>
        <v>10278625.956630288</v>
      </c>
      <c r="AG59" s="325">
        <f t="shared" ref="AG59:AQ59" si="69">IF(AG57&lt;0,AG57*-1,0)</f>
        <v>10278625.956630288</v>
      </c>
      <c r="AH59" s="325">
        <f t="shared" si="69"/>
        <v>10278625.956630288</v>
      </c>
      <c r="AI59" s="325">
        <f t="shared" si="69"/>
        <v>10278625.956630288</v>
      </c>
      <c r="AJ59" s="325">
        <f t="shared" si="69"/>
        <v>10278625.956630288</v>
      </c>
      <c r="AK59" s="325">
        <f t="shared" si="69"/>
        <v>10278625.956630288</v>
      </c>
      <c r="AL59" s="325">
        <f t="shared" si="69"/>
        <v>10278625.956630288</v>
      </c>
      <c r="AM59" s="325">
        <f t="shared" si="69"/>
        <v>10278625.956630288</v>
      </c>
      <c r="AN59" s="325">
        <f t="shared" si="69"/>
        <v>10278625.956630288</v>
      </c>
      <c r="AO59" s="325">
        <f t="shared" si="69"/>
        <v>10278625.956630288</v>
      </c>
      <c r="AP59" s="325">
        <f t="shared" si="69"/>
        <v>10278625.956630288</v>
      </c>
      <c r="AQ59" s="325">
        <f t="shared" si="69"/>
        <v>10278625.956630288</v>
      </c>
    </row>
    <row r="60" spans="2:43" s="319" customFormat="1" ht="12.75">
      <c r="B60" s="323" t="s">
        <v>593</v>
      </c>
      <c r="C60" s="173">
        <f>SUM(D60:AQ60)</f>
        <v>351656071.74946678</v>
      </c>
      <c r="D60" s="325">
        <f>IF(D58&lt;0,D58*-1,0)</f>
        <v>10278625.956630288</v>
      </c>
      <c r="E60" s="325">
        <f t="shared" si="68"/>
        <v>10278625.956630288</v>
      </c>
      <c r="F60" s="325">
        <f t="shared" si="68"/>
        <v>10278625.956630288</v>
      </c>
      <c r="G60" s="325">
        <f t="shared" si="68"/>
        <v>9721848.3463800605</v>
      </c>
      <c r="H60" s="325">
        <f t="shared" si="68"/>
        <v>8359859.5031526871</v>
      </c>
      <c r="I60" s="325">
        <f t="shared" si="68"/>
        <v>8359859.5031526871</v>
      </c>
      <c r="J60" s="325">
        <f t="shared" si="68"/>
        <v>8359859.5031526871</v>
      </c>
      <c r="K60" s="325">
        <f t="shared" si="68"/>
        <v>8359859.5031526871</v>
      </c>
      <c r="L60" s="325">
        <f t="shared" si="68"/>
        <v>8359859.5031526871</v>
      </c>
      <c r="M60" s="325">
        <f t="shared" si="68"/>
        <v>8359859.5031526871</v>
      </c>
      <c r="N60" s="325">
        <f t="shared" si="68"/>
        <v>8359859.5031526871</v>
      </c>
      <c r="O60" s="325">
        <f t="shared" si="68"/>
        <v>8359859.5031526871</v>
      </c>
      <c r="P60" s="325">
        <f t="shared" si="68"/>
        <v>8359859.5031526871</v>
      </c>
      <c r="Q60" s="325">
        <f t="shared" si="68"/>
        <v>8359859.5031526871</v>
      </c>
      <c r="R60" s="325">
        <f t="shared" si="68"/>
        <v>8359859.5031526871</v>
      </c>
      <c r="S60" s="325">
        <f t="shared" si="68"/>
        <v>8359859.5031526871</v>
      </c>
      <c r="T60" s="325">
        <f t="shared" si="68"/>
        <v>8359859.5031526871</v>
      </c>
      <c r="U60" s="325">
        <f t="shared" si="68"/>
        <v>8359859.5031526871</v>
      </c>
      <c r="V60" s="325">
        <f t="shared" si="68"/>
        <v>8359859.5031526871</v>
      </c>
      <c r="W60" s="325">
        <f t="shared" si="68"/>
        <v>8359859.5031526871</v>
      </c>
      <c r="X60" s="325">
        <f t="shared" si="68"/>
        <v>8359859.5031526871</v>
      </c>
      <c r="Y60" s="325">
        <f t="shared" si="68"/>
        <v>8359859.5031526871</v>
      </c>
      <c r="Z60" s="325">
        <f t="shared" si="68"/>
        <v>8359859.5031526871</v>
      </c>
      <c r="AA60" s="325">
        <f t="shared" si="68"/>
        <v>15333897.378614051</v>
      </c>
      <c r="AB60" s="325">
        <f t="shared" si="68"/>
        <v>8359859.5031526871</v>
      </c>
      <c r="AC60" s="325">
        <f t="shared" si="68"/>
        <v>8359859.5031526871</v>
      </c>
      <c r="AD60" s="325">
        <f t="shared" si="68"/>
        <v>8359859.5031526871</v>
      </c>
      <c r="AE60" s="325">
        <f t="shared" si="68"/>
        <v>8359859.5031526871</v>
      </c>
      <c r="AF60" s="325">
        <f t="shared" si="68"/>
        <v>8359859.5031526871</v>
      </c>
      <c r="AG60" s="325">
        <f t="shared" ref="AG60:AQ60" si="70">IF(AG58&lt;0,AG58*-1,0)</f>
        <v>8359859.5031526871</v>
      </c>
      <c r="AH60" s="325">
        <f t="shared" si="70"/>
        <v>8359859.5031526871</v>
      </c>
      <c r="AI60" s="325">
        <f t="shared" si="70"/>
        <v>8359859.5031526871</v>
      </c>
      <c r="AJ60" s="325">
        <f t="shared" si="70"/>
        <v>8359859.5031526871</v>
      </c>
      <c r="AK60" s="325">
        <f t="shared" si="70"/>
        <v>11529225.047390522</v>
      </c>
      <c r="AL60" s="325">
        <f t="shared" si="70"/>
        <v>8359859.5031526871</v>
      </c>
      <c r="AM60" s="325">
        <f t="shared" si="70"/>
        <v>8359859.5031526871</v>
      </c>
      <c r="AN60" s="325">
        <f t="shared" si="70"/>
        <v>8359859.5031526871</v>
      </c>
      <c r="AO60" s="325">
        <f t="shared" si="70"/>
        <v>8359859.5031526871</v>
      </c>
      <c r="AP60" s="325">
        <f t="shared" si="70"/>
        <v>8359859.5031526871</v>
      </c>
      <c r="AQ60" s="325">
        <f t="shared" si="70"/>
        <v>8359859.5031526871</v>
      </c>
    </row>
    <row r="61" spans="2:43" s="319" customFormat="1" ht="12.75">
      <c r="B61" s="326" t="s">
        <v>594</v>
      </c>
      <c r="C61" s="320">
        <f>SUM(D61:AQ61)</f>
        <v>-59488966.515744597</v>
      </c>
      <c r="D61" s="324">
        <f>D60-D59</f>
        <v>0</v>
      </c>
      <c r="E61" s="324">
        <f t="shared" ref="E61:AF61" si="71">E60-E59</f>
        <v>0</v>
      </c>
      <c r="F61" s="324">
        <f t="shared" si="71"/>
        <v>0</v>
      </c>
      <c r="G61" s="324">
        <f t="shared" si="71"/>
        <v>-556777.61025022715</v>
      </c>
      <c r="H61" s="324">
        <f t="shared" si="71"/>
        <v>-1918766.4534776006</v>
      </c>
      <c r="I61" s="324">
        <f t="shared" si="71"/>
        <v>-1918766.4534776006</v>
      </c>
      <c r="J61" s="324">
        <f t="shared" si="71"/>
        <v>-1918766.4534776006</v>
      </c>
      <c r="K61" s="324">
        <f t="shared" si="71"/>
        <v>-1918766.4534776006</v>
      </c>
      <c r="L61" s="324">
        <f t="shared" si="71"/>
        <v>-1918766.4534776006</v>
      </c>
      <c r="M61" s="324">
        <f t="shared" si="71"/>
        <v>-1918766.4534776006</v>
      </c>
      <c r="N61" s="324">
        <f t="shared" si="71"/>
        <v>-1918766.4534776006</v>
      </c>
      <c r="O61" s="324">
        <f t="shared" si="71"/>
        <v>-1918766.4534776006</v>
      </c>
      <c r="P61" s="324">
        <f t="shared" si="71"/>
        <v>-1918766.4534776006</v>
      </c>
      <c r="Q61" s="324">
        <f t="shared" si="71"/>
        <v>-1918766.4534776006</v>
      </c>
      <c r="R61" s="324">
        <f t="shared" si="71"/>
        <v>-1918766.4534776006</v>
      </c>
      <c r="S61" s="324">
        <f t="shared" si="71"/>
        <v>-1918766.4534776006</v>
      </c>
      <c r="T61" s="324">
        <f t="shared" si="71"/>
        <v>-1918766.4534776006</v>
      </c>
      <c r="U61" s="324">
        <f t="shared" si="71"/>
        <v>-1918766.4534776006</v>
      </c>
      <c r="V61" s="324">
        <f t="shared" si="71"/>
        <v>-1918766.4534776006</v>
      </c>
      <c r="W61" s="324">
        <f t="shared" si="71"/>
        <v>-1918766.4534776006</v>
      </c>
      <c r="X61" s="324">
        <f t="shared" si="71"/>
        <v>-1918766.4534776006</v>
      </c>
      <c r="Y61" s="324">
        <f t="shared" si="71"/>
        <v>-1918766.4534776006</v>
      </c>
      <c r="Z61" s="324">
        <f t="shared" si="71"/>
        <v>-1918766.4534776006</v>
      </c>
      <c r="AA61" s="324">
        <f t="shared" si="71"/>
        <v>5055271.4219837636</v>
      </c>
      <c r="AB61" s="324">
        <f t="shared" si="71"/>
        <v>-1918766.4534776006</v>
      </c>
      <c r="AC61" s="324">
        <f t="shared" si="71"/>
        <v>-1918766.4534776006</v>
      </c>
      <c r="AD61" s="324">
        <f t="shared" si="71"/>
        <v>-1918766.4534776006</v>
      </c>
      <c r="AE61" s="324">
        <f t="shared" si="71"/>
        <v>-1918766.4534776006</v>
      </c>
      <c r="AF61" s="324">
        <f t="shared" si="71"/>
        <v>-1918766.4534776006</v>
      </c>
      <c r="AG61" s="324">
        <f t="shared" ref="AG61:AQ61" si="72">AG60-AG59</f>
        <v>-1918766.4534776006</v>
      </c>
      <c r="AH61" s="324">
        <f t="shared" si="72"/>
        <v>-1918766.4534776006</v>
      </c>
      <c r="AI61" s="324">
        <f t="shared" si="72"/>
        <v>-1918766.4534776006</v>
      </c>
      <c r="AJ61" s="324">
        <f t="shared" si="72"/>
        <v>-1918766.4534776006</v>
      </c>
      <c r="AK61" s="324">
        <f t="shared" si="72"/>
        <v>1250599.0907602347</v>
      </c>
      <c r="AL61" s="324">
        <f t="shared" si="72"/>
        <v>-1918766.4534776006</v>
      </c>
      <c r="AM61" s="324">
        <f t="shared" si="72"/>
        <v>-1918766.4534776006</v>
      </c>
      <c r="AN61" s="324">
        <f t="shared" si="72"/>
        <v>-1918766.4534776006</v>
      </c>
      <c r="AO61" s="324">
        <f t="shared" si="72"/>
        <v>-1918766.4534776006</v>
      </c>
      <c r="AP61" s="324">
        <f t="shared" si="72"/>
        <v>-1918766.4534776006</v>
      </c>
      <c r="AQ61" s="324">
        <f t="shared" si="72"/>
        <v>-1918766.4534776006</v>
      </c>
    </row>
    <row r="62" spans="2:43" s="319" customFormat="1">
      <c r="C62" s="327"/>
      <c r="D62" s="328"/>
      <c r="E62" s="328"/>
      <c r="F62" s="328"/>
      <c r="G62" s="328"/>
      <c r="H62" s="328"/>
      <c r="I62" s="328"/>
      <c r="J62" s="328"/>
      <c r="K62" s="328"/>
      <c r="L62" s="328"/>
      <c r="M62" s="328"/>
      <c r="N62" s="328"/>
      <c r="O62" s="328"/>
      <c r="P62" s="328"/>
      <c r="Q62" s="328"/>
      <c r="R62" s="328"/>
      <c r="S62" s="328"/>
      <c r="T62" s="328"/>
      <c r="U62" s="328"/>
      <c r="V62" s="328"/>
      <c r="W62" s="328"/>
      <c r="X62" s="328"/>
      <c r="Y62" s="328"/>
      <c r="Z62" s="328"/>
      <c r="AA62" s="328"/>
      <c r="AB62" s="328"/>
      <c r="AC62" s="328"/>
      <c r="AD62" s="328"/>
      <c r="AE62" s="328"/>
      <c r="AF62" s="328"/>
      <c r="AG62" s="328"/>
      <c r="AH62" s="328"/>
      <c r="AI62" s="328"/>
      <c r="AJ62" s="328"/>
      <c r="AK62" s="328"/>
      <c r="AL62" s="328"/>
      <c r="AM62" s="328"/>
      <c r="AN62" s="328"/>
      <c r="AO62" s="328"/>
      <c r="AP62" s="328"/>
      <c r="AQ62" s="328"/>
    </row>
    <row r="63" spans="2:43" s="319" customFormat="1" ht="25.5">
      <c r="B63" s="329" t="s">
        <v>595</v>
      </c>
      <c r="C63" s="320">
        <f>SUM(D63:AQ63)</f>
        <v>-59488966.515744597</v>
      </c>
      <c r="D63" s="324">
        <f>D37</f>
        <v>0</v>
      </c>
      <c r="E63" s="324">
        <f t="shared" ref="E63:AF63" si="73">E37</f>
        <v>0</v>
      </c>
      <c r="F63" s="324">
        <f t="shared" si="73"/>
        <v>0</v>
      </c>
      <c r="G63" s="324">
        <f t="shared" si="73"/>
        <v>-556777.61025022762</v>
      </c>
      <c r="H63" s="324">
        <f t="shared" si="73"/>
        <v>-1918766.4534776006</v>
      </c>
      <c r="I63" s="324">
        <f t="shared" si="73"/>
        <v>-1918766.4534776006</v>
      </c>
      <c r="J63" s="324">
        <f t="shared" si="73"/>
        <v>-1918766.4534776006</v>
      </c>
      <c r="K63" s="324">
        <f t="shared" si="73"/>
        <v>-1918766.4534776006</v>
      </c>
      <c r="L63" s="324">
        <f t="shared" si="73"/>
        <v>-1918766.4534776006</v>
      </c>
      <c r="M63" s="324">
        <f t="shared" si="73"/>
        <v>-1918766.4534776006</v>
      </c>
      <c r="N63" s="324">
        <f t="shared" si="73"/>
        <v>-1918766.4534776006</v>
      </c>
      <c r="O63" s="324">
        <f t="shared" si="73"/>
        <v>-1918766.4534776006</v>
      </c>
      <c r="P63" s="324">
        <f t="shared" si="73"/>
        <v>-1918766.4534776006</v>
      </c>
      <c r="Q63" s="324">
        <f t="shared" si="73"/>
        <v>-1918766.4534776006</v>
      </c>
      <c r="R63" s="324">
        <f t="shared" si="73"/>
        <v>-1918766.4534776006</v>
      </c>
      <c r="S63" s="324">
        <f t="shared" si="73"/>
        <v>-1918766.4534776006</v>
      </c>
      <c r="T63" s="324">
        <f t="shared" si="73"/>
        <v>-1918766.4534776006</v>
      </c>
      <c r="U63" s="324">
        <f t="shared" si="73"/>
        <v>-1918766.4534776006</v>
      </c>
      <c r="V63" s="324">
        <f t="shared" si="73"/>
        <v>-1918766.4534776006</v>
      </c>
      <c r="W63" s="324">
        <f t="shared" si="73"/>
        <v>-1918766.4534776006</v>
      </c>
      <c r="X63" s="324">
        <f t="shared" si="73"/>
        <v>-1918766.4534776006</v>
      </c>
      <c r="Y63" s="324">
        <f t="shared" si="73"/>
        <v>-1918766.4534776006</v>
      </c>
      <c r="Z63" s="324">
        <f t="shared" si="73"/>
        <v>-1918766.4534776006</v>
      </c>
      <c r="AA63" s="324">
        <f t="shared" si="73"/>
        <v>5055271.4219837636</v>
      </c>
      <c r="AB63" s="324">
        <f t="shared" si="73"/>
        <v>-1918766.4534776006</v>
      </c>
      <c r="AC63" s="324">
        <f t="shared" si="73"/>
        <v>-1918766.4534776006</v>
      </c>
      <c r="AD63" s="324">
        <f t="shared" si="73"/>
        <v>-1918766.4534776006</v>
      </c>
      <c r="AE63" s="324">
        <f t="shared" si="73"/>
        <v>-1918766.4534776006</v>
      </c>
      <c r="AF63" s="324">
        <f t="shared" si="73"/>
        <v>-1918766.4534776006</v>
      </c>
      <c r="AG63" s="324">
        <f t="shared" ref="AG63:AQ63" si="74">AG37</f>
        <v>-1918766.4534776006</v>
      </c>
      <c r="AH63" s="324">
        <f t="shared" si="74"/>
        <v>-1918766.4534776006</v>
      </c>
      <c r="AI63" s="324">
        <f t="shared" si="74"/>
        <v>-1918766.4534776006</v>
      </c>
      <c r="AJ63" s="324">
        <f t="shared" si="74"/>
        <v>-1918766.4534776006</v>
      </c>
      <c r="AK63" s="324">
        <f t="shared" si="74"/>
        <v>1250599.0907602352</v>
      </c>
      <c r="AL63" s="324">
        <f t="shared" si="74"/>
        <v>-1918766.4534776006</v>
      </c>
      <c r="AM63" s="324">
        <f t="shared" si="74"/>
        <v>-1918766.4534776006</v>
      </c>
      <c r="AN63" s="324">
        <f t="shared" si="74"/>
        <v>-1918766.4534776006</v>
      </c>
      <c r="AO63" s="324">
        <f t="shared" si="74"/>
        <v>-1918766.4534776006</v>
      </c>
      <c r="AP63" s="324">
        <f t="shared" si="74"/>
        <v>-1918766.4534776006</v>
      </c>
      <c r="AQ63" s="324">
        <f t="shared" si="74"/>
        <v>-1918766.4534776006</v>
      </c>
    </row>
    <row r="64" spans="2:43" s="319" customFormat="1" ht="25.5">
      <c r="B64" s="329" t="s">
        <v>596</v>
      </c>
      <c r="C64" s="320">
        <f>SUM(D64:AQ64)</f>
        <v>0</v>
      </c>
      <c r="D64" s="324">
        <f>D63-D61</f>
        <v>0</v>
      </c>
      <c r="E64" s="324">
        <f t="shared" ref="E64:AF64" si="75">E63-E61</f>
        <v>0</v>
      </c>
      <c r="F64" s="324">
        <f t="shared" si="75"/>
        <v>0</v>
      </c>
      <c r="G64" s="324">
        <f t="shared" si="75"/>
        <v>0</v>
      </c>
      <c r="H64" s="324">
        <f t="shared" si="75"/>
        <v>0</v>
      </c>
      <c r="I64" s="324">
        <f t="shared" si="75"/>
        <v>0</v>
      </c>
      <c r="J64" s="324">
        <f t="shared" si="75"/>
        <v>0</v>
      </c>
      <c r="K64" s="324">
        <f t="shared" si="75"/>
        <v>0</v>
      </c>
      <c r="L64" s="324">
        <f t="shared" si="75"/>
        <v>0</v>
      </c>
      <c r="M64" s="324">
        <f t="shared" si="75"/>
        <v>0</v>
      </c>
      <c r="N64" s="324">
        <f t="shared" si="75"/>
        <v>0</v>
      </c>
      <c r="O64" s="324">
        <f t="shared" si="75"/>
        <v>0</v>
      </c>
      <c r="P64" s="324">
        <f t="shared" si="75"/>
        <v>0</v>
      </c>
      <c r="Q64" s="324">
        <f t="shared" si="75"/>
        <v>0</v>
      </c>
      <c r="R64" s="324">
        <f t="shared" si="75"/>
        <v>0</v>
      </c>
      <c r="S64" s="324">
        <f t="shared" si="75"/>
        <v>0</v>
      </c>
      <c r="T64" s="324">
        <f t="shared" si="75"/>
        <v>0</v>
      </c>
      <c r="U64" s="324">
        <f t="shared" si="75"/>
        <v>0</v>
      </c>
      <c r="V64" s="324">
        <f t="shared" si="75"/>
        <v>0</v>
      </c>
      <c r="W64" s="324">
        <f t="shared" si="75"/>
        <v>0</v>
      </c>
      <c r="X64" s="324">
        <f t="shared" si="75"/>
        <v>0</v>
      </c>
      <c r="Y64" s="324">
        <f t="shared" si="75"/>
        <v>0</v>
      </c>
      <c r="Z64" s="324">
        <f t="shared" si="75"/>
        <v>0</v>
      </c>
      <c r="AA64" s="324">
        <f t="shared" si="75"/>
        <v>0</v>
      </c>
      <c r="AB64" s="324">
        <f t="shared" si="75"/>
        <v>0</v>
      </c>
      <c r="AC64" s="324">
        <f t="shared" si="75"/>
        <v>0</v>
      </c>
      <c r="AD64" s="324">
        <f t="shared" si="75"/>
        <v>0</v>
      </c>
      <c r="AE64" s="324">
        <f t="shared" si="75"/>
        <v>0</v>
      </c>
      <c r="AF64" s="324">
        <f t="shared" si="75"/>
        <v>0</v>
      </c>
      <c r="AG64" s="324">
        <f t="shared" ref="AG64:AQ64" si="76">AG63-AG61</f>
        <v>0</v>
      </c>
      <c r="AH64" s="324">
        <f t="shared" si="76"/>
        <v>0</v>
      </c>
      <c r="AI64" s="324">
        <f t="shared" si="76"/>
        <v>0</v>
      </c>
      <c r="AJ64" s="324">
        <f t="shared" si="76"/>
        <v>0</v>
      </c>
      <c r="AK64" s="324">
        <f t="shared" si="76"/>
        <v>0</v>
      </c>
      <c r="AL64" s="324">
        <f t="shared" si="76"/>
        <v>0</v>
      </c>
      <c r="AM64" s="324">
        <f t="shared" si="76"/>
        <v>0</v>
      </c>
      <c r="AN64" s="324">
        <f t="shared" si="76"/>
        <v>0</v>
      </c>
      <c r="AO64" s="324">
        <f t="shared" si="76"/>
        <v>0</v>
      </c>
      <c r="AP64" s="324">
        <f t="shared" si="76"/>
        <v>0</v>
      </c>
      <c r="AQ64" s="324">
        <f t="shared" si="76"/>
        <v>0</v>
      </c>
    </row>
    <row r="65" spans="2:43" s="319" customFormat="1" ht="25.5">
      <c r="B65" s="317" t="s">
        <v>597</v>
      </c>
      <c r="C65" s="320">
        <f>SUM(D65:AQ65)</f>
        <v>6305870.5127439983</v>
      </c>
      <c r="D65" s="318">
        <f>IF(D63&gt;=0,D63,IF(D64&lt;=0,0,D64))</f>
        <v>0</v>
      </c>
      <c r="E65" s="318">
        <f t="shared" ref="E65:AF65" si="77">IF(E63&gt;=0,E63,IF(E64&lt;=0,0,E64))</f>
        <v>0</v>
      </c>
      <c r="F65" s="318">
        <f t="shared" si="77"/>
        <v>0</v>
      </c>
      <c r="G65" s="318">
        <f t="shared" si="77"/>
        <v>0</v>
      </c>
      <c r="H65" s="318">
        <f t="shared" si="77"/>
        <v>0</v>
      </c>
      <c r="I65" s="318">
        <f t="shared" si="77"/>
        <v>0</v>
      </c>
      <c r="J65" s="318">
        <f t="shared" si="77"/>
        <v>0</v>
      </c>
      <c r="K65" s="318">
        <f t="shared" si="77"/>
        <v>0</v>
      </c>
      <c r="L65" s="318">
        <f t="shared" si="77"/>
        <v>0</v>
      </c>
      <c r="M65" s="318">
        <f t="shared" si="77"/>
        <v>0</v>
      </c>
      <c r="N65" s="318">
        <f t="shared" si="77"/>
        <v>0</v>
      </c>
      <c r="O65" s="318">
        <f t="shared" si="77"/>
        <v>0</v>
      </c>
      <c r="P65" s="318">
        <f t="shared" si="77"/>
        <v>0</v>
      </c>
      <c r="Q65" s="318">
        <f t="shared" si="77"/>
        <v>0</v>
      </c>
      <c r="R65" s="318">
        <f t="shared" si="77"/>
        <v>0</v>
      </c>
      <c r="S65" s="318">
        <f t="shared" si="77"/>
        <v>0</v>
      </c>
      <c r="T65" s="318">
        <f t="shared" si="77"/>
        <v>0</v>
      </c>
      <c r="U65" s="318">
        <f t="shared" si="77"/>
        <v>0</v>
      </c>
      <c r="V65" s="318">
        <f t="shared" si="77"/>
        <v>0</v>
      </c>
      <c r="W65" s="318">
        <f t="shared" si="77"/>
        <v>0</v>
      </c>
      <c r="X65" s="318">
        <f t="shared" si="77"/>
        <v>0</v>
      </c>
      <c r="Y65" s="318">
        <f t="shared" si="77"/>
        <v>0</v>
      </c>
      <c r="Z65" s="318">
        <f t="shared" si="77"/>
        <v>0</v>
      </c>
      <c r="AA65" s="318">
        <f t="shared" si="77"/>
        <v>5055271.4219837636</v>
      </c>
      <c r="AB65" s="318">
        <f t="shared" si="77"/>
        <v>0</v>
      </c>
      <c r="AC65" s="318">
        <f t="shared" si="77"/>
        <v>0</v>
      </c>
      <c r="AD65" s="318">
        <f t="shared" si="77"/>
        <v>0</v>
      </c>
      <c r="AE65" s="318">
        <f t="shared" si="77"/>
        <v>0</v>
      </c>
      <c r="AF65" s="318">
        <f t="shared" si="77"/>
        <v>0</v>
      </c>
      <c r="AG65" s="318">
        <f t="shared" ref="AG65:AQ65" si="78">IF(AG63&gt;=0,AG63,IF(AG64&lt;=0,0,AG64))</f>
        <v>0</v>
      </c>
      <c r="AH65" s="318">
        <f t="shared" si="78"/>
        <v>0</v>
      </c>
      <c r="AI65" s="318">
        <f t="shared" si="78"/>
        <v>0</v>
      </c>
      <c r="AJ65" s="318">
        <f t="shared" si="78"/>
        <v>0</v>
      </c>
      <c r="AK65" s="318">
        <f t="shared" si="78"/>
        <v>1250599.0907602352</v>
      </c>
      <c r="AL65" s="318">
        <f t="shared" si="78"/>
        <v>0</v>
      </c>
      <c r="AM65" s="318">
        <f t="shared" si="78"/>
        <v>0</v>
      </c>
      <c r="AN65" s="318">
        <f t="shared" si="78"/>
        <v>0</v>
      </c>
      <c r="AO65" s="318">
        <f t="shared" si="78"/>
        <v>0</v>
      </c>
      <c r="AP65" s="318">
        <f t="shared" si="78"/>
        <v>0</v>
      </c>
      <c r="AQ65" s="318">
        <f t="shared" si="78"/>
        <v>0</v>
      </c>
    </row>
  </sheetData>
  <phoneticPr fontId="7" type="noConversion"/>
  <pageMargins left="0.19687499999999999" right="0.26250000000000001" top="0.88958333333333328" bottom="0.7" header="0.5" footer="0.5"/>
  <pageSetup paperSize="9" scale="70" orientation="landscape" r:id="rId1"/>
  <headerFooter alignWithMargins="0">
    <oddHeader>&amp;LPríloha 7: Štandardné tabuľky - Cesty
&amp;"Arial,Tučné"&amp;12 03 Náklady na prevádzku a údržbu</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AQ25"/>
  <sheetViews>
    <sheetView zoomScale="80" zoomScaleNormal="80" workbookViewId="0">
      <selection activeCell="N36" sqref="N36"/>
    </sheetView>
  </sheetViews>
  <sheetFormatPr defaultColWidth="9.140625" defaultRowHeight="11.25"/>
  <cols>
    <col min="1" max="1" width="2.7109375" style="2" customWidth="1"/>
    <col min="2" max="2" width="22.7109375" style="2" customWidth="1"/>
    <col min="3" max="3" width="10.7109375" style="2" customWidth="1"/>
    <col min="4" max="43" width="6.7109375" style="2" customWidth="1"/>
    <col min="44" max="16384" width="9.140625" style="2"/>
  </cols>
  <sheetData>
    <row r="2" spans="2:43" ht="12">
      <c r="B2" s="491" t="s">
        <v>807</v>
      </c>
    </row>
    <row r="4" spans="2:43">
      <c r="B4" s="3"/>
      <c r="C4" s="3"/>
      <c r="D4" s="3" t="s">
        <v>9</v>
      </c>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row>
    <row r="5" spans="2:43">
      <c r="B5" s="4" t="s">
        <v>286</v>
      </c>
      <c r="C5" s="4"/>
      <c r="D5" s="5">
        <v>1</v>
      </c>
      <c r="E5" s="5">
        <v>2</v>
      </c>
      <c r="F5" s="5">
        <v>3</v>
      </c>
      <c r="G5" s="5">
        <v>4</v>
      </c>
      <c r="H5" s="5">
        <v>5</v>
      </c>
      <c r="I5" s="5">
        <v>6</v>
      </c>
      <c r="J5" s="5">
        <v>7</v>
      </c>
      <c r="K5" s="5">
        <v>8</v>
      </c>
      <c r="L5" s="5">
        <v>9</v>
      </c>
      <c r="M5" s="5">
        <v>10</v>
      </c>
      <c r="N5" s="5">
        <v>11</v>
      </c>
      <c r="O5" s="5">
        <v>12</v>
      </c>
      <c r="P5" s="5">
        <v>13</v>
      </c>
      <c r="Q5" s="5">
        <v>14</v>
      </c>
      <c r="R5" s="5">
        <v>15</v>
      </c>
      <c r="S5" s="5">
        <v>16</v>
      </c>
      <c r="T5" s="5">
        <v>17</v>
      </c>
      <c r="U5" s="5">
        <v>18</v>
      </c>
      <c r="V5" s="5">
        <v>19</v>
      </c>
      <c r="W5" s="5">
        <v>20</v>
      </c>
      <c r="X5" s="5">
        <v>21</v>
      </c>
      <c r="Y5" s="5">
        <v>22</v>
      </c>
      <c r="Z5" s="5">
        <v>23</v>
      </c>
      <c r="AA5" s="5">
        <v>24</v>
      </c>
      <c r="AB5" s="5">
        <v>25</v>
      </c>
      <c r="AC5" s="5">
        <v>26</v>
      </c>
      <c r="AD5" s="5">
        <v>27</v>
      </c>
      <c r="AE5" s="5">
        <v>28</v>
      </c>
      <c r="AF5" s="5">
        <v>29</v>
      </c>
      <c r="AG5" s="5">
        <v>30</v>
      </c>
      <c r="AH5" s="5">
        <v>31</v>
      </c>
      <c r="AI5" s="5">
        <v>32</v>
      </c>
      <c r="AJ5" s="5">
        <v>33</v>
      </c>
      <c r="AK5" s="5">
        <v>34</v>
      </c>
      <c r="AL5" s="5">
        <v>35</v>
      </c>
      <c r="AM5" s="5">
        <v>36</v>
      </c>
      <c r="AN5" s="5">
        <v>37</v>
      </c>
      <c r="AO5" s="5">
        <v>38</v>
      </c>
      <c r="AP5" s="5">
        <v>39</v>
      </c>
      <c r="AQ5" s="5">
        <v>40</v>
      </c>
    </row>
    <row r="6" spans="2:43">
      <c r="B6" s="6" t="s">
        <v>41</v>
      </c>
      <c r="C6" s="6" t="s">
        <v>8</v>
      </c>
      <c r="D6" s="7">
        <f>Parametre!C13</f>
        <v>2024</v>
      </c>
      <c r="E6" s="7">
        <f>$D$6+D5</f>
        <v>2025</v>
      </c>
      <c r="F6" s="7">
        <f>$D$6+E5</f>
        <v>2026</v>
      </c>
      <c r="G6" s="7">
        <f t="shared" ref="G6:AF6" si="0">$D$6+F5</f>
        <v>2027</v>
      </c>
      <c r="H6" s="7">
        <f t="shared" si="0"/>
        <v>2028</v>
      </c>
      <c r="I6" s="7">
        <f t="shared" si="0"/>
        <v>2029</v>
      </c>
      <c r="J6" s="7">
        <f t="shared" si="0"/>
        <v>2030</v>
      </c>
      <c r="K6" s="7">
        <f t="shared" si="0"/>
        <v>2031</v>
      </c>
      <c r="L6" s="7">
        <f t="shared" si="0"/>
        <v>2032</v>
      </c>
      <c r="M6" s="7">
        <f t="shared" si="0"/>
        <v>2033</v>
      </c>
      <c r="N6" s="7">
        <f t="shared" si="0"/>
        <v>2034</v>
      </c>
      <c r="O6" s="7">
        <f t="shared" si="0"/>
        <v>2035</v>
      </c>
      <c r="P6" s="7">
        <f t="shared" si="0"/>
        <v>2036</v>
      </c>
      <c r="Q6" s="7">
        <f t="shared" si="0"/>
        <v>2037</v>
      </c>
      <c r="R6" s="7">
        <f t="shared" si="0"/>
        <v>2038</v>
      </c>
      <c r="S6" s="7">
        <f t="shared" si="0"/>
        <v>2039</v>
      </c>
      <c r="T6" s="7">
        <f t="shared" si="0"/>
        <v>2040</v>
      </c>
      <c r="U6" s="7">
        <f t="shared" si="0"/>
        <v>2041</v>
      </c>
      <c r="V6" s="7">
        <f t="shared" si="0"/>
        <v>2042</v>
      </c>
      <c r="W6" s="7">
        <f t="shared" si="0"/>
        <v>2043</v>
      </c>
      <c r="X6" s="7">
        <f t="shared" si="0"/>
        <v>2044</v>
      </c>
      <c r="Y6" s="7">
        <f t="shared" si="0"/>
        <v>2045</v>
      </c>
      <c r="Z6" s="7">
        <f t="shared" si="0"/>
        <v>2046</v>
      </c>
      <c r="AA6" s="7">
        <f t="shared" si="0"/>
        <v>2047</v>
      </c>
      <c r="AB6" s="7">
        <f t="shared" si="0"/>
        <v>2048</v>
      </c>
      <c r="AC6" s="7">
        <f t="shared" si="0"/>
        <v>2049</v>
      </c>
      <c r="AD6" s="7">
        <f t="shared" si="0"/>
        <v>2050</v>
      </c>
      <c r="AE6" s="7">
        <f t="shared" si="0"/>
        <v>2051</v>
      </c>
      <c r="AF6" s="7">
        <f t="shared" si="0"/>
        <v>2052</v>
      </c>
      <c r="AG6" s="7">
        <f t="shared" ref="AG6" si="1">$D$6+AF5</f>
        <v>2053</v>
      </c>
      <c r="AH6" s="7">
        <f t="shared" ref="AH6" si="2">$D$6+AG5</f>
        <v>2054</v>
      </c>
      <c r="AI6" s="7">
        <f t="shared" ref="AI6" si="3">$D$6+AH5</f>
        <v>2055</v>
      </c>
      <c r="AJ6" s="7">
        <f t="shared" ref="AJ6" si="4">$D$6+AI5</f>
        <v>2056</v>
      </c>
      <c r="AK6" s="7">
        <f t="shared" ref="AK6" si="5">$D$6+AJ5</f>
        <v>2057</v>
      </c>
      <c r="AL6" s="7">
        <f t="shared" ref="AL6" si="6">$D$6+AK5</f>
        <v>2058</v>
      </c>
      <c r="AM6" s="7">
        <f t="shared" ref="AM6" si="7">$D$6+AL5</f>
        <v>2059</v>
      </c>
      <c r="AN6" s="7">
        <f t="shared" ref="AN6" si="8">$D$6+AM5</f>
        <v>2060</v>
      </c>
      <c r="AO6" s="7">
        <f t="shared" ref="AO6" si="9">$D$6+AN5</f>
        <v>2061</v>
      </c>
      <c r="AP6" s="7">
        <f t="shared" ref="AP6" si="10">$D$6+AO5</f>
        <v>2062</v>
      </c>
      <c r="AQ6" s="7">
        <f t="shared" ref="AQ6" si="11">$D$6+AP5</f>
        <v>2063</v>
      </c>
    </row>
    <row r="7" spans="2:43">
      <c r="B7" s="3" t="s">
        <v>475</v>
      </c>
      <c r="C7" s="8">
        <f>SUM(D7:AQ7)</f>
        <v>0</v>
      </c>
      <c r="D7" s="9">
        <v>0</v>
      </c>
      <c r="E7" s="9">
        <v>0</v>
      </c>
      <c r="F7" s="9">
        <v>0</v>
      </c>
      <c r="G7" s="9">
        <v>0</v>
      </c>
      <c r="H7" s="9">
        <v>0</v>
      </c>
      <c r="I7" s="9">
        <v>0</v>
      </c>
      <c r="J7" s="9">
        <v>0</v>
      </c>
      <c r="K7" s="9">
        <v>0</v>
      </c>
      <c r="L7" s="9">
        <v>0</v>
      </c>
      <c r="M7" s="9">
        <v>0</v>
      </c>
      <c r="N7" s="9">
        <v>0</v>
      </c>
      <c r="O7" s="9">
        <v>0</v>
      </c>
      <c r="P7" s="9">
        <v>0</v>
      </c>
      <c r="Q7" s="9">
        <v>0</v>
      </c>
      <c r="R7" s="9">
        <v>0</v>
      </c>
      <c r="S7" s="9">
        <v>0</v>
      </c>
      <c r="T7" s="9">
        <v>0</v>
      </c>
      <c r="U7" s="9">
        <v>0</v>
      </c>
      <c r="V7" s="9">
        <v>0</v>
      </c>
      <c r="W7" s="9">
        <v>0</v>
      </c>
      <c r="X7" s="9">
        <v>0</v>
      </c>
      <c r="Y7" s="9">
        <v>0</v>
      </c>
      <c r="Z7" s="9">
        <v>0</v>
      </c>
      <c r="AA7" s="9">
        <v>0</v>
      </c>
      <c r="AB7" s="9">
        <v>0</v>
      </c>
      <c r="AC7" s="9">
        <v>0</v>
      </c>
      <c r="AD7" s="9">
        <v>0</v>
      </c>
      <c r="AE7" s="9">
        <v>0</v>
      </c>
      <c r="AF7" s="9">
        <v>0</v>
      </c>
      <c r="AG7" s="9">
        <v>0</v>
      </c>
      <c r="AH7" s="9">
        <v>0</v>
      </c>
      <c r="AI7" s="9">
        <v>0</v>
      </c>
      <c r="AJ7" s="9">
        <v>0</v>
      </c>
      <c r="AK7" s="9">
        <v>0</v>
      </c>
      <c r="AL7" s="9">
        <v>0</v>
      </c>
      <c r="AM7" s="9">
        <v>0</v>
      </c>
      <c r="AN7" s="9">
        <v>0</v>
      </c>
      <c r="AO7" s="9">
        <v>0</v>
      </c>
      <c r="AP7" s="9">
        <v>0</v>
      </c>
      <c r="AQ7" s="9">
        <v>0</v>
      </c>
    </row>
    <row r="8" spans="2:43">
      <c r="B8" s="3" t="s">
        <v>70</v>
      </c>
      <c r="C8" s="8">
        <f>SUM(D8:AQ8)</f>
        <v>0</v>
      </c>
      <c r="D8" s="9">
        <v>0</v>
      </c>
      <c r="E8" s="9">
        <v>0</v>
      </c>
      <c r="F8" s="9">
        <v>0</v>
      </c>
      <c r="G8" s="9">
        <v>0</v>
      </c>
      <c r="H8" s="9">
        <v>0</v>
      </c>
      <c r="I8" s="9">
        <v>0</v>
      </c>
      <c r="J8" s="9">
        <v>0</v>
      </c>
      <c r="K8" s="9">
        <v>0</v>
      </c>
      <c r="L8" s="9">
        <v>0</v>
      </c>
      <c r="M8" s="9">
        <v>0</v>
      </c>
      <c r="N8" s="9">
        <v>0</v>
      </c>
      <c r="O8" s="9">
        <v>0</v>
      </c>
      <c r="P8" s="9">
        <v>0</v>
      </c>
      <c r="Q8" s="9">
        <v>0</v>
      </c>
      <c r="R8" s="9">
        <v>0</v>
      </c>
      <c r="S8" s="9">
        <v>0</v>
      </c>
      <c r="T8" s="9">
        <v>0</v>
      </c>
      <c r="U8" s="9">
        <v>0</v>
      </c>
      <c r="V8" s="9">
        <v>0</v>
      </c>
      <c r="W8" s="9">
        <v>0</v>
      </c>
      <c r="X8" s="9">
        <v>0</v>
      </c>
      <c r="Y8" s="9">
        <v>0</v>
      </c>
      <c r="Z8" s="9">
        <v>0</v>
      </c>
      <c r="AA8" s="9">
        <v>0</v>
      </c>
      <c r="AB8" s="9">
        <v>0</v>
      </c>
      <c r="AC8" s="9">
        <v>0</v>
      </c>
      <c r="AD8" s="9">
        <v>0</v>
      </c>
      <c r="AE8" s="9">
        <v>0</v>
      </c>
      <c r="AF8" s="9">
        <v>0</v>
      </c>
      <c r="AG8" s="9">
        <v>0</v>
      </c>
      <c r="AH8" s="9">
        <v>0</v>
      </c>
      <c r="AI8" s="9">
        <v>0</v>
      </c>
      <c r="AJ8" s="9">
        <v>0</v>
      </c>
      <c r="AK8" s="9">
        <v>0</v>
      </c>
      <c r="AL8" s="9">
        <v>0</v>
      </c>
      <c r="AM8" s="9">
        <v>0</v>
      </c>
      <c r="AN8" s="9">
        <v>0</v>
      </c>
      <c r="AO8" s="9">
        <v>0</v>
      </c>
      <c r="AP8" s="9">
        <v>0</v>
      </c>
      <c r="AQ8" s="9">
        <v>0</v>
      </c>
    </row>
    <row r="9" spans="2:43">
      <c r="B9" s="4" t="s">
        <v>10</v>
      </c>
      <c r="C9" s="13">
        <f>SUM(D9:AQ9)</f>
        <v>0</v>
      </c>
      <c r="D9" s="13">
        <f>SUM(D7:D8)</f>
        <v>0</v>
      </c>
      <c r="E9" s="13">
        <f t="shared" ref="E9:AF9" si="12">SUM(E7:E8)</f>
        <v>0</v>
      </c>
      <c r="F9" s="13">
        <f t="shared" si="12"/>
        <v>0</v>
      </c>
      <c r="G9" s="13">
        <f t="shared" si="12"/>
        <v>0</v>
      </c>
      <c r="H9" s="13">
        <f t="shared" si="12"/>
        <v>0</v>
      </c>
      <c r="I9" s="13">
        <f t="shared" si="12"/>
        <v>0</v>
      </c>
      <c r="J9" s="13">
        <f t="shared" si="12"/>
        <v>0</v>
      </c>
      <c r="K9" s="13">
        <f t="shared" si="12"/>
        <v>0</v>
      </c>
      <c r="L9" s="13">
        <f t="shared" si="12"/>
        <v>0</v>
      </c>
      <c r="M9" s="13">
        <f t="shared" si="12"/>
        <v>0</v>
      </c>
      <c r="N9" s="13">
        <f t="shared" si="12"/>
        <v>0</v>
      </c>
      <c r="O9" s="13">
        <f t="shared" si="12"/>
        <v>0</v>
      </c>
      <c r="P9" s="13">
        <f t="shared" si="12"/>
        <v>0</v>
      </c>
      <c r="Q9" s="13">
        <f t="shared" si="12"/>
        <v>0</v>
      </c>
      <c r="R9" s="13">
        <f t="shared" si="12"/>
        <v>0</v>
      </c>
      <c r="S9" s="13">
        <f t="shared" si="12"/>
        <v>0</v>
      </c>
      <c r="T9" s="13">
        <f t="shared" si="12"/>
        <v>0</v>
      </c>
      <c r="U9" s="13">
        <f t="shared" si="12"/>
        <v>0</v>
      </c>
      <c r="V9" s="13">
        <f t="shared" si="12"/>
        <v>0</v>
      </c>
      <c r="W9" s="13">
        <f t="shared" si="12"/>
        <v>0</v>
      </c>
      <c r="X9" s="13">
        <f t="shared" si="12"/>
        <v>0</v>
      </c>
      <c r="Y9" s="13">
        <f t="shared" si="12"/>
        <v>0</v>
      </c>
      <c r="Z9" s="13">
        <f t="shared" si="12"/>
        <v>0</v>
      </c>
      <c r="AA9" s="13">
        <f t="shared" si="12"/>
        <v>0</v>
      </c>
      <c r="AB9" s="13">
        <f t="shared" si="12"/>
        <v>0</v>
      </c>
      <c r="AC9" s="13">
        <f t="shared" si="12"/>
        <v>0</v>
      </c>
      <c r="AD9" s="13">
        <f t="shared" si="12"/>
        <v>0</v>
      </c>
      <c r="AE9" s="13">
        <f t="shared" si="12"/>
        <v>0</v>
      </c>
      <c r="AF9" s="13">
        <f t="shared" si="12"/>
        <v>0</v>
      </c>
      <c r="AG9" s="13">
        <f t="shared" ref="AG9:AQ9" si="13">SUM(AG7:AG8)</f>
        <v>0</v>
      </c>
      <c r="AH9" s="13">
        <f t="shared" si="13"/>
        <v>0</v>
      </c>
      <c r="AI9" s="13">
        <f t="shared" si="13"/>
        <v>0</v>
      </c>
      <c r="AJ9" s="13">
        <f t="shared" si="13"/>
        <v>0</v>
      </c>
      <c r="AK9" s="13">
        <f t="shared" si="13"/>
        <v>0</v>
      </c>
      <c r="AL9" s="13">
        <f t="shared" si="13"/>
        <v>0</v>
      </c>
      <c r="AM9" s="13">
        <f t="shared" si="13"/>
        <v>0</v>
      </c>
      <c r="AN9" s="13">
        <f t="shared" si="13"/>
        <v>0</v>
      </c>
      <c r="AO9" s="13">
        <f t="shared" si="13"/>
        <v>0</v>
      </c>
      <c r="AP9" s="13">
        <f t="shared" si="13"/>
        <v>0</v>
      </c>
      <c r="AQ9" s="13">
        <f t="shared" si="13"/>
        <v>0</v>
      </c>
    </row>
    <row r="12" spans="2:43">
      <c r="B12" s="3"/>
      <c r="C12" s="3"/>
      <c r="D12" s="3" t="s">
        <v>9</v>
      </c>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row>
    <row r="13" spans="2:43">
      <c r="B13" s="4" t="s">
        <v>287</v>
      </c>
      <c r="C13" s="4"/>
      <c r="D13" s="3">
        <v>1</v>
      </c>
      <c r="E13" s="3">
        <v>2</v>
      </c>
      <c r="F13" s="3">
        <v>3</v>
      </c>
      <c r="G13" s="3">
        <v>4</v>
      </c>
      <c r="H13" s="3">
        <v>5</v>
      </c>
      <c r="I13" s="3">
        <v>6</v>
      </c>
      <c r="J13" s="3">
        <v>7</v>
      </c>
      <c r="K13" s="3">
        <v>8</v>
      </c>
      <c r="L13" s="3">
        <v>9</v>
      </c>
      <c r="M13" s="3">
        <v>10</v>
      </c>
      <c r="N13" s="3">
        <v>11</v>
      </c>
      <c r="O13" s="3">
        <v>12</v>
      </c>
      <c r="P13" s="3">
        <v>13</v>
      </c>
      <c r="Q13" s="3">
        <v>14</v>
      </c>
      <c r="R13" s="3">
        <v>15</v>
      </c>
      <c r="S13" s="3">
        <v>16</v>
      </c>
      <c r="T13" s="3">
        <v>17</v>
      </c>
      <c r="U13" s="3">
        <v>18</v>
      </c>
      <c r="V13" s="3">
        <v>19</v>
      </c>
      <c r="W13" s="3">
        <v>20</v>
      </c>
      <c r="X13" s="3">
        <v>21</v>
      </c>
      <c r="Y13" s="3">
        <v>22</v>
      </c>
      <c r="Z13" s="3">
        <v>23</v>
      </c>
      <c r="AA13" s="3">
        <v>24</v>
      </c>
      <c r="AB13" s="3">
        <v>25</v>
      </c>
      <c r="AC13" s="3">
        <v>26</v>
      </c>
      <c r="AD13" s="3">
        <v>27</v>
      </c>
      <c r="AE13" s="3">
        <v>28</v>
      </c>
      <c r="AF13" s="3">
        <v>29</v>
      </c>
      <c r="AG13" s="3">
        <v>30</v>
      </c>
      <c r="AH13" s="3">
        <v>31</v>
      </c>
      <c r="AI13" s="3">
        <v>32</v>
      </c>
      <c r="AJ13" s="3">
        <v>33</v>
      </c>
      <c r="AK13" s="3">
        <v>34</v>
      </c>
      <c r="AL13" s="3">
        <v>35</v>
      </c>
      <c r="AM13" s="3">
        <v>36</v>
      </c>
      <c r="AN13" s="3">
        <v>37</v>
      </c>
      <c r="AO13" s="3">
        <v>38</v>
      </c>
      <c r="AP13" s="3">
        <v>39</v>
      </c>
      <c r="AQ13" s="3">
        <v>40</v>
      </c>
    </row>
    <row r="14" spans="2:43">
      <c r="B14" s="6" t="s">
        <v>43</v>
      </c>
      <c r="C14" s="6" t="s">
        <v>8</v>
      </c>
      <c r="D14" s="20">
        <f>D6</f>
        <v>2024</v>
      </c>
      <c r="E14" s="20">
        <f>E6</f>
        <v>2025</v>
      </c>
      <c r="F14" s="20">
        <f>F6</f>
        <v>2026</v>
      </c>
      <c r="G14" s="20">
        <f t="shared" ref="G14:AF14" si="14">G6</f>
        <v>2027</v>
      </c>
      <c r="H14" s="20">
        <f t="shared" si="14"/>
        <v>2028</v>
      </c>
      <c r="I14" s="20">
        <f t="shared" si="14"/>
        <v>2029</v>
      </c>
      <c r="J14" s="20">
        <f t="shared" si="14"/>
        <v>2030</v>
      </c>
      <c r="K14" s="20">
        <f t="shared" si="14"/>
        <v>2031</v>
      </c>
      <c r="L14" s="20">
        <f t="shared" si="14"/>
        <v>2032</v>
      </c>
      <c r="M14" s="20">
        <f t="shared" si="14"/>
        <v>2033</v>
      </c>
      <c r="N14" s="20">
        <f t="shared" si="14"/>
        <v>2034</v>
      </c>
      <c r="O14" s="20">
        <f t="shared" si="14"/>
        <v>2035</v>
      </c>
      <c r="P14" s="20">
        <f t="shared" si="14"/>
        <v>2036</v>
      </c>
      <c r="Q14" s="20">
        <f t="shared" si="14"/>
        <v>2037</v>
      </c>
      <c r="R14" s="20">
        <f t="shared" si="14"/>
        <v>2038</v>
      </c>
      <c r="S14" s="20">
        <f t="shared" si="14"/>
        <v>2039</v>
      </c>
      <c r="T14" s="20">
        <f t="shared" si="14"/>
        <v>2040</v>
      </c>
      <c r="U14" s="20">
        <f t="shared" si="14"/>
        <v>2041</v>
      </c>
      <c r="V14" s="20">
        <f t="shared" si="14"/>
        <v>2042</v>
      </c>
      <c r="W14" s="20">
        <f t="shared" si="14"/>
        <v>2043</v>
      </c>
      <c r="X14" s="20">
        <f t="shared" si="14"/>
        <v>2044</v>
      </c>
      <c r="Y14" s="20">
        <f t="shared" si="14"/>
        <v>2045</v>
      </c>
      <c r="Z14" s="20">
        <f t="shared" si="14"/>
        <v>2046</v>
      </c>
      <c r="AA14" s="20">
        <f t="shared" si="14"/>
        <v>2047</v>
      </c>
      <c r="AB14" s="20">
        <f t="shared" si="14"/>
        <v>2048</v>
      </c>
      <c r="AC14" s="20">
        <f t="shared" si="14"/>
        <v>2049</v>
      </c>
      <c r="AD14" s="20">
        <f t="shared" si="14"/>
        <v>2050</v>
      </c>
      <c r="AE14" s="20">
        <f t="shared" si="14"/>
        <v>2051</v>
      </c>
      <c r="AF14" s="20">
        <f t="shared" si="14"/>
        <v>2052</v>
      </c>
      <c r="AG14" s="20">
        <f t="shared" ref="AG14:AQ14" si="15">AG6</f>
        <v>2053</v>
      </c>
      <c r="AH14" s="20">
        <f t="shared" si="15"/>
        <v>2054</v>
      </c>
      <c r="AI14" s="20">
        <f t="shared" si="15"/>
        <v>2055</v>
      </c>
      <c r="AJ14" s="20">
        <f t="shared" si="15"/>
        <v>2056</v>
      </c>
      <c r="AK14" s="20">
        <f t="shared" si="15"/>
        <v>2057</v>
      </c>
      <c r="AL14" s="20">
        <f t="shared" si="15"/>
        <v>2058</v>
      </c>
      <c r="AM14" s="20">
        <f t="shared" si="15"/>
        <v>2059</v>
      </c>
      <c r="AN14" s="20">
        <f t="shared" si="15"/>
        <v>2060</v>
      </c>
      <c r="AO14" s="20">
        <f t="shared" si="15"/>
        <v>2061</v>
      </c>
      <c r="AP14" s="20">
        <f t="shared" si="15"/>
        <v>2062</v>
      </c>
      <c r="AQ14" s="20">
        <f t="shared" si="15"/>
        <v>2063</v>
      </c>
    </row>
    <row r="15" spans="2:43">
      <c r="B15" s="3" t="s">
        <v>475</v>
      </c>
      <c r="C15" s="8">
        <f>SUM(D15:AQ15)</f>
        <v>0</v>
      </c>
      <c r="D15" s="9">
        <v>0</v>
      </c>
      <c r="E15" s="9">
        <v>0</v>
      </c>
      <c r="F15" s="9">
        <v>0</v>
      </c>
      <c r="G15" s="9">
        <v>0</v>
      </c>
      <c r="H15" s="9">
        <v>0</v>
      </c>
      <c r="I15" s="9">
        <v>0</v>
      </c>
      <c r="J15" s="9">
        <v>0</v>
      </c>
      <c r="K15" s="9">
        <v>0</v>
      </c>
      <c r="L15" s="9">
        <v>0</v>
      </c>
      <c r="M15" s="9">
        <v>0</v>
      </c>
      <c r="N15" s="9">
        <v>0</v>
      </c>
      <c r="O15" s="9">
        <v>0</v>
      </c>
      <c r="P15" s="9">
        <v>0</v>
      </c>
      <c r="Q15" s="9">
        <v>0</v>
      </c>
      <c r="R15" s="9">
        <v>0</v>
      </c>
      <c r="S15" s="9">
        <v>0</v>
      </c>
      <c r="T15" s="9">
        <v>0</v>
      </c>
      <c r="U15" s="9">
        <v>0</v>
      </c>
      <c r="V15" s="9">
        <v>0</v>
      </c>
      <c r="W15" s="9">
        <v>0</v>
      </c>
      <c r="X15" s="9">
        <v>0</v>
      </c>
      <c r="Y15" s="9">
        <v>0</v>
      </c>
      <c r="Z15" s="9">
        <v>0</v>
      </c>
      <c r="AA15" s="9">
        <v>0</v>
      </c>
      <c r="AB15" s="9">
        <v>0</v>
      </c>
      <c r="AC15" s="9">
        <v>0</v>
      </c>
      <c r="AD15" s="9">
        <v>0</v>
      </c>
      <c r="AE15" s="9">
        <v>0</v>
      </c>
      <c r="AF15" s="9">
        <v>0</v>
      </c>
      <c r="AG15" s="9">
        <v>0</v>
      </c>
      <c r="AH15" s="9">
        <v>0</v>
      </c>
      <c r="AI15" s="9">
        <v>0</v>
      </c>
      <c r="AJ15" s="9">
        <v>0</v>
      </c>
      <c r="AK15" s="9">
        <v>0</v>
      </c>
      <c r="AL15" s="9">
        <v>0</v>
      </c>
      <c r="AM15" s="9">
        <v>0</v>
      </c>
      <c r="AN15" s="9">
        <v>0</v>
      </c>
      <c r="AO15" s="9">
        <v>0</v>
      </c>
      <c r="AP15" s="9">
        <v>0</v>
      </c>
      <c r="AQ15" s="9">
        <v>0</v>
      </c>
    </row>
    <row r="16" spans="2:43">
      <c r="B16" s="3" t="s">
        <v>70</v>
      </c>
      <c r="C16" s="8">
        <f>SUM(D16:AQ16)</f>
        <v>0</v>
      </c>
      <c r="D16" s="9">
        <v>0</v>
      </c>
      <c r="E16" s="9">
        <v>0</v>
      </c>
      <c r="F16" s="9">
        <v>0</v>
      </c>
      <c r="G16" s="9">
        <v>0</v>
      </c>
      <c r="H16" s="9">
        <v>0</v>
      </c>
      <c r="I16" s="9">
        <v>0</v>
      </c>
      <c r="J16" s="9">
        <v>0</v>
      </c>
      <c r="K16" s="9">
        <v>0</v>
      </c>
      <c r="L16" s="9">
        <v>0</v>
      </c>
      <c r="M16" s="9">
        <v>0</v>
      </c>
      <c r="N16" s="9">
        <v>0</v>
      </c>
      <c r="O16" s="9">
        <v>0</v>
      </c>
      <c r="P16" s="9">
        <v>0</v>
      </c>
      <c r="Q16" s="9">
        <v>0</v>
      </c>
      <c r="R16" s="9">
        <v>0</v>
      </c>
      <c r="S16" s="9">
        <v>0</v>
      </c>
      <c r="T16" s="9">
        <v>0</v>
      </c>
      <c r="U16" s="9">
        <v>0</v>
      </c>
      <c r="V16" s="9">
        <v>0</v>
      </c>
      <c r="W16" s="9">
        <v>0</v>
      </c>
      <c r="X16" s="9">
        <v>0</v>
      </c>
      <c r="Y16" s="9">
        <v>0</v>
      </c>
      <c r="Z16" s="9">
        <v>0</v>
      </c>
      <c r="AA16" s="9">
        <v>0</v>
      </c>
      <c r="AB16" s="9">
        <v>0</v>
      </c>
      <c r="AC16" s="9">
        <v>0</v>
      </c>
      <c r="AD16" s="9">
        <v>0</v>
      </c>
      <c r="AE16" s="9">
        <v>0</v>
      </c>
      <c r="AF16" s="9">
        <v>0</v>
      </c>
      <c r="AG16" s="9">
        <v>0</v>
      </c>
      <c r="AH16" s="9">
        <v>0</v>
      </c>
      <c r="AI16" s="9">
        <v>0</v>
      </c>
      <c r="AJ16" s="9">
        <v>0</v>
      </c>
      <c r="AK16" s="9">
        <v>0</v>
      </c>
      <c r="AL16" s="9">
        <v>0</v>
      </c>
      <c r="AM16" s="9">
        <v>0</v>
      </c>
      <c r="AN16" s="9">
        <v>0</v>
      </c>
      <c r="AO16" s="9">
        <v>0</v>
      </c>
      <c r="AP16" s="9">
        <v>0</v>
      </c>
      <c r="AQ16" s="9">
        <v>0</v>
      </c>
    </row>
    <row r="17" spans="2:43">
      <c r="B17" s="4" t="s">
        <v>10</v>
      </c>
      <c r="C17" s="13">
        <f>SUM(D17:AQ17)</f>
        <v>0</v>
      </c>
      <c r="D17" s="13">
        <f>SUM(D15:D16)</f>
        <v>0</v>
      </c>
      <c r="E17" s="13">
        <f t="shared" ref="E17:AF17" si="16">SUM(E15:E16)</f>
        <v>0</v>
      </c>
      <c r="F17" s="13">
        <f t="shared" si="16"/>
        <v>0</v>
      </c>
      <c r="G17" s="13">
        <f t="shared" si="16"/>
        <v>0</v>
      </c>
      <c r="H17" s="13">
        <f t="shared" si="16"/>
        <v>0</v>
      </c>
      <c r="I17" s="13">
        <f t="shared" si="16"/>
        <v>0</v>
      </c>
      <c r="J17" s="13">
        <f t="shared" si="16"/>
        <v>0</v>
      </c>
      <c r="K17" s="13">
        <f t="shared" si="16"/>
        <v>0</v>
      </c>
      <c r="L17" s="13">
        <f t="shared" si="16"/>
        <v>0</v>
      </c>
      <c r="M17" s="13">
        <f t="shared" si="16"/>
        <v>0</v>
      </c>
      <c r="N17" s="13">
        <f t="shared" si="16"/>
        <v>0</v>
      </c>
      <c r="O17" s="13">
        <f t="shared" si="16"/>
        <v>0</v>
      </c>
      <c r="P17" s="13">
        <f t="shared" si="16"/>
        <v>0</v>
      </c>
      <c r="Q17" s="13">
        <f t="shared" si="16"/>
        <v>0</v>
      </c>
      <c r="R17" s="13">
        <f t="shared" si="16"/>
        <v>0</v>
      </c>
      <c r="S17" s="13">
        <f t="shared" si="16"/>
        <v>0</v>
      </c>
      <c r="T17" s="13">
        <f t="shared" si="16"/>
        <v>0</v>
      </c>
      <c r="U17" s="13">
        <f t="shared" si="16"/>
        <v>0</v>
      </c>
      <c r="V17" s="13">
        <f t="shared" si="16"/>
        <v>0</v>
      </c>
      <c r="W17" s="13">
        <f t="shared" si="16"/>
        <v>0</v>
      </c>
      <c r="X17" s="13">
        <f t="shared" si="16"/>
        <v>0</v>
      </c>
      <c r="Y17" s="13">
        <f t="shared" si="16"/>
        <v>0</v>
      </c>
      <c r="Z17" s="13">
        <f t="shared" si="16"/>
        <v>0</v>
      </c>
      <c r="AA17" s="13">
        <f t="shared" si="16"/>
        <v>0</v>
      </c>
      <c r="AB17" s="13">
        <f t="shared" si="16"/>
        <v>0</v>
      </c>
      <c r="AC17" s="13">
        <f t="shared" si="16"/>
        <v>0</v>
      </c>
      <c r="AD17" s="13">
        <f t="shared" si="16"/>
        <v>0</v>
      </c>
      <c r="AE17" s="13">
        <f t="shared" si="16"/>
        <v>0</v>
      </c>
      <c r="AF17" s="13">
        <f t="shared" si="16"/>
        <v>0</v>
      </c>
      <c r="AG17" s="13">
        <f t="shared" ref="AG17:AQ17" si="17">SUM(AG15:AG16)</f>
        <v>0</v>
      </c>
      <c r="AH17" s="13">
        <f t="shared" si="17"/>
        <v>0</v>
      </c>
      <c r="AI17" s="13">
        <f t="shared" si="17"/>
        <v>0</v>
      </c>
      <c r="AJ17" s="13">
        <f t="shared" si="17"/>
        <v>0</v>
      </c>
      <c r="AK17" s="13">
        <f t="shared" si="17"/>
        <v>0</v>
      </c>
      <c r="AL17" s="13">
        <f t="shared" si="17"/>
        <v>0</v>
      </c>
      <c r="AM17" s="13">
        <f t="shared" si="17"/>
        <v>0</v>
      </c>
      <c r="AN17" s="13">
        <f t="shared" si="17"/>
        <v>0</v>
      </c>
      <c r="AO17" s="13">
        <f t="shared" si="17"/>
        <v>0</v>
      </c>
      <c r="AP17" s="13">
        <f t="shared" si="17"/>
        <v>0</v>
      </c>
      <c r="AQ17" s="13">
        <f t="shared" si="17"/>
        <v>0</v>
      </c>
    </row>
    <row r="20" spans="2:43">
      <c r="B20" s="3"/>
      <c r="C20" s="3"/>
      <c r="D20" s="3" t="s">
        <v>9</v>
      </c>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row>
    <row r="21" spans="2:43">
      <c r="B21" s="4" t="s">
        <v>288</v>
      </c>
      <c r="C21" s="4"/>
      <c r="D21" s="3">
        <v>1</v>
      </c>
      <c r="E21" s="3">
        <v>2</v>
      </c>
      <c r="F21" s="3">
        <v>3</v>
      </c>
      <c r="G21" s="3">
        <v>4</v>
      </c>
      <c r="H21" s="3">
        <v>5</v>
      </c>
      <c r="I21" s="3">
        <v>6</v>
      </c>
      <c r="J21" s="3">
        <v>7</v>
      </c>
      <c r="K21" s="3">
        <v>8</v>
      </c>
      <c r="L21" s="3">
        <v>9</v>
      </c>
      <c r="M21" s="3">
        <v>10</v>
      </c>
      <c r="N21" s="3">
        <v>11</v>
      </c>
      <c r="O21" s="3">
        <v>12</v>
      </c>
      <c r="P21" s="3">
        <v>13</v>
      </c>
      <c r="Q21" s="3">
        <v>14</v>
      </c>
      <c r="R21" s="3">
        <v>15</v>
      </c>
      <c r="S21" s="3">
        <v>16</v>
      </c>
      <c r="T21" s="3">
        <v>17</v>
      </c>
      <c r="U21" s="3">
        <v>18</v>
      </c>
      <c r="V21" s="3">
        <v>19</v>
      </c>
      <c r="W21" s="3">
        <v>20</v>
      </c>
      <c r="X21" s="3">
        <v>21</v>
      </c>
      <c r="Y21" s="3">
        <v>22</v>
      </c>
      <c r="Z21" s="3">
        <v>23</v>
      </c>
      <c r="AA21" s="3">
        <v>24</v>
      </c>
      <c r="AB21" s="3">
        <v>25</v>
      </c>
      <c r="AC21" s="3">
        <v>26</v>
      </c>
      <c r="AD21" s="3">
        <v>27</v>
      </c>
      <c r="AE21" s="3">
        <v>28</v>
      </c>
      <c r="AF21" s="3">
        <v>29</v>
      </c>
      <c r="AG21" s="3">
        <v>30</v>
      </c>
      <c r="AH21" s="3">
        <v>31</v>
      </c>
      <c r="AI21" s="3">
        <v>32</v>
      </c>
      <c r="AJ21" s="3">
        <v>33</v>
      </c>
      <c r="AK21" s="3">
        <v>34</v>
      </c>
      <c r="AL21" s="3">
        <v>35</v>
      </c>
      <c r="AM21" s="3">
        <v>36</v>
      </c>
      <c r="AN21" s="3">
        <v>37</v>
      </c>
      <c r="AO21" s="3">
        <v>38</v>
      </c>
      <c r="AP21" s="3">
        <v>39</v>
      </c>
      <c r="AQ21" s="3">
        <v>40</v>
      </c>
    </row>
    <row r="22" spans="2:43">
      <c r="B22" s="198" t="s">
        <v>289</v>
      </c>
      <c r="C22" s="198" t="s">
        <v>8</v>
      </c>
      <c r="D22" s="141">
        <f>D6</f>
        <v>2024</v>
      </c>
      <c r="E22" s="141">
        <f t="shared" ref="E22:AF22" si="18">E6</f>
        <v>2025</v>
      </c>
      <c r="F22" s="141">
        <f t="shared" si="18"/>
        <v>2026</v>
      </c>
      <c r="G22" s="141">
        <f t="shared" si="18"/>
        <v>2027</v>
      </c>
      <c r="H22" s="141">
        <f t="shared" si="18"/>
        <v>2028</v>
      </c>
      <c r="I22" s="141">
        <f t="shared" si="18"/>
        <v>2029</v>
      </c>
      <c r="J22" s="141">
        <f t="shared" si="18"/>
        <v>2030</v>
      </c>
      <c r="K22" s="141">
        <f t="shared" si="18"/>
        <v>2031</v>
      </c>
      <c r="L22" s="141">
        <f t="shared" si="18"/>
        <v>2032</v>
      </c>
      <c r="M22" s="141">
        <f t="shared" si="18"/>
        <v>2033</v>
      </c>
      <c r="N22" s="141">
        <f t="shared" si="18"/>
        <v>2034</v>
      </c>
      <c r="O22" s="141">
        <f t="shared" si="18"/>
        <v>2035</v>
      </c>
      <c r="P22" s="141">
        <f t="shared" si="18"/>
        <v>2036</v>
      </c>
      <c r="Q22" s="141">
        <f t="shared" si="18"/>
        <v>2037</v>
      </c>
      <c r="R22" s="141">
        <f t="shared" si="18"/>
        <v>2038</v>
      </c>
      <c r="S22" s="141">
        <f t="shared" si="18"/>
        <v>2039</v>
      </c>
      <c r="T22" s="141">
        <f t="shared" si="18"/>
        <v>2040</v>
      </c>
      <c r="U22" s="141">
        <f t="shared" si="18"/>
        <v>2041</v>
      </c>
      <c r="V22" s="141">
        <f t="shared" si="18"/>
        <v>2042</v>
      </c>
      <c r="W22" s="141">
        <f t="shared" si="18"/>
        <v>2043</v>
      </c>
      <c r="X22" s="141">
        <f t="shared" si="18"/>
        <v>2044</v>
      </c>
      <c r="Y22" s="141">
        <f t="shared" si="18"/>
        <v>2045</v>
      </c>
      <c r="Z22" s="141">
        <f t="shared" si="18"/>
        <v>2046</v>
      </c>
      <c r="AA22" s="141">
        <f t="shared" si="18"/>
        <v>2047</v>
      </c>
      <c r="AB22" s="141">
        <f t="shared" si="18"/>
        <v>2048</v>
      </c>
      <c r="AC22" s="141">
        <f t="shared" si="18"/>
        <v>2049</v>
      </c>
      <c r="AD22" s="141">
        <f t="shared" si="18"/>
        <v>2050</v>
      </c>
      <c r="AE22" s="141">
        <f t="shared" si="18"/>
        <v>2051</v>
      </c>
      <c r="AF22" s="141">
        <f t="shared" si="18"/>
        <v>2052</v>
      </c>
      <c r="AG22" s="141">
        <f t="shared" ref="AG22:AQ22" si="19">AG6</f>
        <v>2053</v>
      </c>
      <c r="AH22" s="141">
        <f t="shared" si="19"/>
        <v>2054</v>
      </c>
      <c r="AI22" s="141">
        <f t="shared" si="19"/>
        <v>2055</v>
      </c>
      <c r="AJ22" s="141">
        <f t="shared" si="19"/>
        <v>2056</v>
      </c>
      <c r="AK22" s="141">
        <f t="shared" si="19"/>
        <v>2057</v>
      </c>
      <c r="AL22" s="141">
        <f t="shared" si="19"/>
        <v>2058</v>
      </c>
      <c r="AM22" s="141">
        <f t="shared" si="19"/>
        <v>2059</v>
      </c>
      <c r="AN22" s="141">
        <f t="shared" si="19"/>
        <v>2060</v>
      </c>
      <c r="AO22" s="141">
        <f t="shared" si="19"/>
        <v>2061</v>
      </c>
      <c r="AP22" s="141">
        <f t="shared" si="19"/>
        <v>2062</v>
      </c>
      <c r="AQ22" s="141">
        <f t="shared" si="19"/>
        <v>2063</v>
      </c>
    </row>
    <row r="23" spans="2:43">
      <c r="B23" s="3" t="s">
        <v>475</v>
      </c>
      <c r="C23" s="8">
        <f>SUM(D23:AQ23)</f>
        <v>0</v>
      </c>
      <c r="D23" s="8">
        <f>D15-D7</f>
        <v>0</v>
      </c>
      <c r="E23" s="8">
        <f t="shared" ref="E23:AF23" si="20">E15-E7</f>
        <v>0</v>
      </c>
      <c r="F23" s="8">
        <f t="shared" si="20"/>
        <v>0</v>
      </c>
      <c r="G23" s="8">
        <f t="shared" si="20"/>
        <v>0</v>
      </c>
      <c r="H23" s="8">
        <f t="shared" si="20"/>
        <v>0</v>
      </c>
      <c r="I23" s="8">
        <f t="shared" si="20"/>
        <v>0</v>
      </c>
      <c r="J23" s="8">
        <f t="shared" si="20"/>
        <v>0</v>
      </c>
      <c r="K23" s="8">
        <f t="shared" si="20"/>
        <v>0</v>
      </c>
      <c r="L23" s="8">
        <f t="shared" si="20"/>
        <v>0</v>
      </c>
      <c r="M23" s="8">
        <f t="shared" si="20"/>
        <v>0</v>
      </c>
      <c r="N23" s="8">
        <f t="shared" si="20"/>
        <v>0</v>
      </c>
      <c r="O23" s="8">
        <f t="shared" si="20"/>
        <v>0</v>
      </c>
      <c r="P23" s="8">
        <f t="shared" si="20"/>
        <v>0</v>
      </c>
      <c r="Q23" s="8">
        <f t="shared" si="20"/>
        <v>0</v>
      </c>
      <c r="R23" s="8">
        <f t="shared" si="20"/>
        <v>0</v>
      </c>
      <c r="S23" s="8">
        <f t="shared" si="20"/>
        <v>0</v>
      </c>
      <c r="T23" s="8">
        <f t="shared" si="20"/>
        <v>0</v>
      </c>
      <c r="U23" s="8">
        <f t="shared" si="20"/>
        <v>0</v>
      </c>
      <c r="V23" s="8">
        <f t="shared" si="20"/>
        <v>0</v>
      </c>
      <c r="W23" s="8">
        <f t="shared" si="20"/>
        <v>0</v>
      </c>
      <c r="X23" s="8">
        <f t="shared" si="20"/>
        <v>0</v>
      </c>
      <c r="Y23" s="8">
        <f t="shared" si="20"/>
        <v>0</v>
      </c>
      <c r="Z23" s="8">
        <f t="shared" si="20"/>
        <v>0</v>
      </c>
      <c r="AA23" s="8">
        <f t="shared" si="20"/>
        <v>0</v>
      </c>
      <c r="AB23" s="8">
        <f t="shared" si="20"/>
        <v>0</v>
      </c>
      <c r="AC23" s="8">
        <f t="shared" si="20"/>
        <v>0</v>
      </c>
      <c r="AD23" s="8">
        <f t="shared" si="20"/>
        <v>0</v>
      </c>
      <c r="AE23" s="8">
        <f t="shared" si="20"/>
        <v>0</v>
      </c>
      <c r="AF23" s="8">
        <f t="shared" si="20"/>
        <v>0</v>
      </c>
      <c r="AG23" s="8">
        <f t="shared" ref="AG23:AQ23" si="21">AG15-AG7</f>
        <v>0</v>
      </c>
      <c r="AH23" s="8">
        <f t="shared" si="21"/>
        <v>0</v>
      </c>
      <c r="AI23" s="8">
        <f t="shared" si="21"/>
        <v>0</v>
      </c>
      <c r="AJ23" s="8">
        <f t="shared" si="21"/>
        <v>0</v>
      </c>
      <c r="AK23" s="8">
        <f t="shared" si="21"/>
        <v>0</v>
      </c>
      <c r="AL23" s="8">
        <f t="shared" si="21"/>
        <v>0</v>
      </c>
      <c r="AM23" s="8">
        <f t="shared" si="21"/>
        <v>0</v>
      </c>
      <c r="AN23" s="8">
        <f t="shared" si="21"/>
        <v>0</v>
      </c>
      <c r="AO23" s="8">
        <f t="shared" si="21"/>
        <v>0</v>
      </c>
      <c r="AP23" s="8">
        <f t="shared" si="21"/>
        <v>0</v>
      </c>
      <c r="AQ23" s="8">
        <f t="shared" si="21"/>
        <v>0</v>
      </c>
    </row>
    <row r="24" spans="2:43">
      <c r="B24" s="3" t="s">
        <v>70</v>
      </c>
      <c r="C24" s="8">
        <f>SUM(D24:AQ24)</f>
        <v>0</v>
      </c>
      <c r="D24" s="8">
        <f>D16-D8</f>
        <v>0</v>
      </c>
      <c r="E24" s="8">
        <f t="shared" ref="E24:AF24" si="22">E16-E8</f>
        <v>0</v>
      </c>
      <c r="F24" s="8">
        <f t="shared" si="22"/>
        <v>0</v>
      </c>
      <c r="G24" s="8">
        <f t="shared" si="22"/>
        <v>0</v>
      </c>
      <c r="H24" s="8">
        <f t="shared" si="22"/>
        <v>0</v>
      </c>
      <c r="I24" s="8">
        <f t="shared" si="22"/>
        <v>0</v>
      </c>
      <c r="J24" s="8">
        <f t="shared" si="22"/>
        <v>0</v>
      </c>
      <c r="K24" s="8">
        <f t="shared" si="22"/>
        <v>0</v>
      </c>
      <c r="L24" s="8">
        <f t="shared" si="22"/>
        <v>0</v>
      </c>
      <c r="M24" s="8">
        <f t="shared" si="22"/>
        <v>0</v>
      </c>
      <c r="N24" s="8">
        <f t="shared" si="22"/>
        <v>0</v>
      </c>
      <c r="O24" s="8">
        <f t="shared" si="22"/>
        <v>0</v>
      </c>
      <c r="P24" s="8">
        <f t="shared" si="22"/>
        <v>0</v>
      </c>
      <c r="Q24" s="8">
        <f t="shared" si="22"/>
        <v>0</v>
      </c>
      <c r="R24" s="8">
        <f t="shared" si="22"/>
        <v>0</v>
      </c>
      <c r="S24" s="8">
        <f t="shared" si="22"/>
        <v>0</v>
      </c>
      <c r="T24" s="8">
        <f t="shared" si="22"/>
        <v>0</v>
      </c>
      <c r="U24" s="8">
        <f t="shared" si="22"/>
        <v>0</v>
      </c>
      <c r="V24" s="8">
        <f t="shared" si="22"/>
        <v>0</v>
      </c>
      <c r="W24" s="8">
        <f t="shared" si="22"/>
        <v>0</v>
      </c>
      <c r="X24" s="8">
        <f t="shared" si="22"/>
        <v>0</v>
      </c>
      <c r="Y24" s="8">
        <f t="shared" si="22"/>
        <v>0</v>
      </c>
      <c r="Z24" s="8">
        <f t="shared" si="22"/>
        <v>0</v>
      </c>
      <c r="AA24" s="8">
        <f t="shared" si="22"/>
        <v>0</v>
      </c>
      <c r="AB24" s="8">
        <f t="shared" si="22"/>
        <v>0</v>
      </c>
      <c r="AC24" s="8">
        <f t="shared" si="22"/>
        <v>0</v>
      </c>
      <c r="AD24" s="8">
        <f t="shared" si="22"/>
        <v>0</v>
      </c>
      <c r="AE24" s="8">
        <f t="shared" si="22"/>
        <v>0</v>
      </c>
      <c r="AF24" s="8">
        <f t="shared" si="22"/>
        <v>0</v>
      </c>
      <c r="AG24" s="8">
        <f t="shared" ref="AG24:AQ24" si="23">AG16-AG8</f>
        <v>0</v>
      </c>
      <c r="AH24" s="8">
        <f t="shared" si="23"/>
        <v>0</v>
      </c>
      <c r="AI24" s="8">
        <f t="shared" si="23"/>
        <v>0</v>
      </c>
      <c r="AJ24" s="8">
        <f t="shared" si="23"/>
        <v>0</v>
      </c>
      <c r="AK24" s="8">
        <f t="shared" si="23"/>
        <v>0</v>
      </c>
      <c r="AL24" s="8">
        <f t="shared" si="23"/>
        <v>0</v>
      </c>
      <c r="AM24" s="8">
        <f t="shared" si="23"/>
        <v>0</v>
      </c>
      <c r="AN24" s="8">
        <f t="shared" si="23"/>
        <v>0</v>
      </c>
      <c r="AO24" s="8">
        <f t="shared" si="23"/>
        <v>0</v>
      </c>
      <c r="AP24" s="8">
        <f t="shared" si="23"/>
        <v>0</v>
      </c>
      <c r="AQ24" s="8">
        <f t="shared" si="23"/>
        <v>0</v>
      </c>
    </row>
    <row r="25" spans="2:43">
      <c r="B25" s="4" t="s">
        <v>10</v>
      </c>
      <c r="C25" s="13">
        <f>SUM(D25:AQ25)</f>
        <v>0</v>
      </c>
      <c r="D25" s="13">
        <f>SUM(D23:D24)</f>
        <v>0</v>
      </c>
      <c r="E25" s="13">
        <f t="shared" ref="E25:AF25" si="24">SUM(E23:E24)</f>
        <v>0</v>
      </c>
      <c r="F25" s="13">
        <f t="shared" si="24"/>
        <v>0</v>
      </c>
      <c r="G25" s="13">
        <f t="shared" si="24"/>
        <v>0</v>
      </c>
      <c r="H25" s="13">
        <f t="shared" si="24"/>
        <v>0</v>
      </c>
      <c r="I25" s="13">
        <f t="shared" si="24"/>
        <v>0</v>
      </c>
      <c r="J25" s="13">
        <f t="shared" si="24"/>
        <v>0</v>
      </c>
      <c r="K25" s="13">
        <f t="shared" si="24"/>
        <v>0</v>
      </c>
      <c r="L25" s="13">
        <f t="shared" si="24"/>
        <v>0</v>
      </c>
      <c r="M25" s="13">
        <f t="shared" si="24"/>
        <v>0</v>
      </c>
      <c r="N25" s="13">
        <f t="shared" si="24"/>
        <v>0</v>
      </c>
      <c r="O25" s="13">
        <f t="shared" si="24"/>
        <v>0</v>
      </c>
      <c r="P25" s="13">
        <f t="shared" si="24"/>
        <v>0</v>
      </c>
      <c r="Q25" s="13">
        <f t="shared" si="24"/>
        <v>0</v>
      </c>
      <c r="R25" s="13">
        <f t="shared" si="24"/>
        <v>0</v>
      </c>
      <c r="S25" s="13">
        <f t="shared" si="24"/>
        <v>0</v>
      </c>
      <c r="T25" s="13">
        <f t="shared" si="24"/>
        <v>0</v>
      </c>
      <c r="U25" s="13">
        <f t="shared" si="24"/>
        <v>0</v>
      </c>
      <c r="V25" s="13">
        <f t="shared" si="24"/>
        <v>0</v>
      </c>
      <c r="W25" s="13">
        <f t="shared" si="24"/>
        <v>0</v>
      </c>
      <c r="X25" s="13">
        <f t="shared" si="24"/>
        <v>0</v>
      </c>
      <c r="Y25" s="13">
        <f t="shared" si="24"/>
        <v>0</v>
      </c>
      <c r="Z25" s="13">
        <f t="shared" si="24"/>
        <v>0</v>
      </c>
      <c r="AA25" s="13">
        <f t="shared" si="24"/>
        <v>0</v>
      </c>
      <c r="AB25" s="13">
        <f t="shared" si="24"/>
        <v>0</v>
      </c>
      <c r="AC25" s="13">
        <f t="shared" si="24"/>
        <v>0</v>
      </c>
      <c r="AD25" s="13">
        <f t="shared" si="24"/>
        <v>0</v>
      </c>
      <c r="AE25" s="13">
        <f t="shared" si="24"/>
        <v>0</v>
      </c>
      <c r="AF25" s="13">
        <f t="shared" si="24"/>
        <v>0</v>
      </c>
      <c r="AG25" s="13">
        <f t="shared" ref="AG25:AQ25" si="25">SUM(AG23:AG24)</f>
        <v>0</v>
      </c>
      <c r="AH25" s="13">
        <f t="shared" si="25"/>
        <v>0</v>
      </c>
      <c r="AI25" s="13">
        <f t="shared" si="25"/>
        <v>0</v>
      </c>
      <c r="AJ25" s="13">
        <f t="shared" si="25"/>
        <v>0</v>
      </c>
      <c r="AK25" s="13">
        <f t="shared" si="25"/>
        <v>0</v>
      </c>
      <c r="AL25" s="13">
        <f t="shared" si="25"/>
        <v>0</v>
      </c>
      <c r="AM25" s="13">
        <f t="shared" si="25"/>
        <v>0</v>
      </c>
      <c r="AN25" s="13">
        <f t="shared" si="25"/>
        <v>0</v>
      </c>
      <c r="AO25" s="13">
        <f t="shared" si="25"/>
        <v>0</v>
      </c>
      <c r="AP25" s="13">
        <f t="shared" si="25"/>
        <v>0</v>
      </c>
      <c r="AQ25" s="13">
        <f t="shared" si="25"/>
        <v>0</v>
      </c>
    </row>
  </sheetData>
  <phoneticPr fontId="7" type="noConversion"/>
  <pageMargins left="0.22604166666666667" right="0.24062500000000001" top="1" bottom="1" header="0.5" footer="0.5"/>
  <pageSetup paperSize="9" scale="75" orientation="landscape" r:id="rId1"/>
  <headerFooter alignWithMargins="0">
    <oddHeader>&amp;LPríloha 7: Štandardné tabuľky - Cesty
&amp;"Arial,Tučné"&amp;12 04 Príjmy</oddHeader>
    <oddFooter>Strana &amp;P z &amp;N</oddFooter>
  </headerFooter>
  <ignoredErrors>
    <ignoredError sqref="D9" formulaRang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AQ31"/>
  <sheetViews>
    <sheetView zoomScale="80" zoomScaleNormal="80" workbookViewId="0">
      <selection activeCell="I20" sqref="I20"/>
    </sheetView>
  </sheetViews>
  <sheetFormatPr defaultColWidth="9.140625" defaultRowHeight="11.25"/>
  <cols>
    <col min="1" max="1" width="2.42578125" style="2" customWidth="1"/>
    <col min="2" max="2" width="35.42578125" style="2" customWidth="1"/>
    <col min="3" max="4" width="12.7109375" style="2" customWidth="1"/>
    <col min="5" max="5" width="12" style="2" bestFit="1" customWidth="1"/>
    <col min="6" max="6" width="12" style="2" customWidth="1"/>
    <col min="7" max="8" width="12" style="2" bestFit="1" customWidth="1"/>
    <col min="9" max="43" width="6.7109375" style="2" customWidth="1"/>
    <col min="44" max="16384" width="9.140625" style="2"/>
  </cols>
  <sheetData>
    <row r="2" spans="2:6" ht="12">
      <c r="B2" s="491" t="s">
        <v>807</v>
      </c>
    </row>
    <row r="4" spans="2:6">
      <c r="B4" s="6" t="s">
        <v>14</v>
      </c>
      <c r="C4" s="132" t="s">
        <v>31</v>
      </c>
      <c r="D4" s="132" t="s">
        <v>32</v>
      </c>
    </row>
    <row r="5" spans="2:6">
      <c r="B5" s="3" t="s">
        <v>310</v>
      </c>
      <c r="C5" s="139">
        <f>'01 Investičné výdavky'!C30</f>
        <v>34218526.209296122</v>
      </c>
      <c r="D5" s="32">
        <f>'06 Finančná analýza'!C7</f>
        <v>31537135.148764137</v>
      </c>
      <c r="F5" s="2" t="s">
        <v>267</v>
      </c>
    </row>
    <row r="6" spans="2:6">
      <c r="B6" s="3" t="s">
        <v>15</v>
      </c>
      <c r="C6" s="139">
        <f>'06 Finančná analýza'!AQ10</f>
        <v>8188434.1672972282</v>
      </c>
      <c r="D6" s="32">
        <f>'06 Finančná analýza'!C10</f>
        <v>1773783.5751913944</v>
      </c>
    </row>
    <row r="7" spans="2:6">
      <c r="B7" s="3" t="s">
        <v>255</v>
      </c>
      <c r="C7" s="139">
        <f>'04 Prevádzkové príjmy'!C25</f>
        <v>0</v>
      </c>
      <c r="D7" s="32">
        <f>'06 Finančná analýza'!C9</f>
        <v>0</v>
      </c>
    </row>
    <row r="8" spans="2:6">
      <c r="B8" s="3" t="s">
        <v>73</v>
      </c>
      <c r="C8" s="139">
        <f>'03 Prevádzkové výdavky'!C37</f>
        <v>-59488966.515744597</v>
      </c>
      <c r="D8" s="32">
        <f>'03 Prevádzkové výdavky'!D65+NPV(Parametre!$C$9,'03 Prevádzkové výdavky'!E65:AQ65)</f>
        <v>2393838.6616780339</v>
      </c>
      <c r="F8" s="154" t="s">
        <v>315</v>
      </c>
    </row>
    <row r="9" spans="2:6">
      <c r="B9" s="3" t="s">
        <v>309</v>
      </c>
      <c r="C9" s="151"/>
      <c r="D9" s="32">
        <f>IF(D7&gt;D8,D6+D7-D8,0)</f>
        <v>0</v>
      </c>
      <c r="F9" s="154" t="s">
        <v>308</v>
      </c>
    </row>
    <row r="10" spans="2:6">
      <c r="B10" s="3" t="s">
        <v>311</v>
      </c>
      <c r="C10" s="152"/>
      <c r="D10" s="32">
        <f>D5-D9</f>
        <v>31537135.148764137</v>
      </c>
    </row>
    <row r="11" spans="2:6">
      <c r="B11" s="3" t="s">
        <v>312</v>
      </c>
      <c r="C11" s="153"/>
      <c r="D11" s="204">
        <f>D10/D5</f>
        <v>1</v>
      </c>
    </row>
    <row r="14" spans="2:6">
      <c r="B14" s="6" t="s">
        <v>17</v>
      </c>
      <c r="C14" s="20"/>
      <c r="D14" s="2" t="s">
        <v>314</v>
      </c>
    </row>
    <row r="15" spans="2:6">
      <c r="B15" s="3" t="s">
        <v>489</v>
      </c>
      <c r="C15" s="8">
        <f>'01 Investičné výdavky'!C37</f>
        <v>37343505.771788925</v>
      </c>
    </row>
    <row r="16" spans="2:6">
      <c r="B16" s="3" t="s">
        <v>490</v>
      </c>
      <c r="C16" s="9">
        <v>0</v>
      </c>
      <c r="D16" s="2" t="s">
        <v>492</v>
      </c>
    </row>
    <row r="17" spans="2:43">
      <c r="B17" s="3" t="s">
        <v>491</v>
      </c>
      <c r="C17" s="8">
        <f>C15+C16</f>
        <v>37343505.771788925</v>
      </c>
    </row>
    <row r="18" spans="2:43">
      <c r="B18" s="3" t="s">
        <v>256</v>
      </c>
      <c r="C18" s="8">
        <f>C17*D11</f>
        <v>37343505.771788925</v>
      </c>
    </row>
    <row r="19" spans="2:43">
      <c r="B19" s="3" t="s">
        <v>16</v>
      </c>
      <c r="C19" s="25">
        <v>1</v>
      </c>
    </row>
    <row r="20" spans="2:43">
      <c r="B20" s="3" t="s">
        <v>18</v>
      </c>
      <c r="C20" s="8">
        <f>C18*C19</f>
        <v>37343505.771788925</v>
      </c>
    </row>
    <row r="21" spans="2:43">
      <c r="B21" s="15"/>
    </row>
    <row r="22" spans="2:43">
      <c r="B22" s="15"/>
    </row>
    <row r="23" spans="2:43">
      <c r="B23" s="3"/>
      <c r="C23" s="3"/>
      <c r="D23" s="3" t="s">
        <v>9</v>
      </c>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row>
    <row r="24" spans="2:43">
      <c r="B24" s="4"/>
      <c r="C24" s="4"/>
      <c r="D24" s="5">
        <v>1</v>
      </c>
      <c r="E24" s="5">
        <v>2</v>
      </c>
      <c r="F24" s="5">
        <v>3</v>
      </c>
      <c r="G24" s="5">
        <v>4</v>
      </c>
      <c r="H24" s="5">
        <v>5</v>
      </c>
      <c r="I24" s="5">
        <v>6</v>
      </c>
      <c r="J24" s="5">
        <v>7</v>
      </c>
      <c r="K24" s="5">
        <v>8</v>
      </c>
      <c r="L24" s="5">
        <v>9</v>
      </c>
      <c r="M24" s="5">
        <v>10</v>
      </c>
      <c r="N24" s="5">
        <v>11</v>
      </c>
      <c r="O24" s="5">
        <v>12</v>
      </c>
      <c r="P24" s="5">
        <v>13</v>
      </c>
      <c r="Q24" s="5">
        <v>14</v>
      </c>
      <c r="R24" s="5">
        <v>15</v>
      </c>
      <c r="S24" s="5">
        <v>16</v>
      </c>
      <c r="T24" s="5">
        <v>17</v>
      </c>
      <c r="U24" s="5">
        <v>18</v>
      </c>
      <c r="V24" s="5">
        <v>19</v>
      </c>
      <c r="W24" s="5">
        <v>20</v>
      </c>
      <c r="X24" s="5">
        <v>21</v>
      </c>
      <c r="Y24" s="5">
        <v>22</v>
      </c>
      <c r="Z24" s="5">
        <v>23</v>
      </c>
      <c r="AA24" s="5">
        <v>24</v>
      </c>
      <c r="AB24" s="5">
        <v>25</v>
      </c>
      <c r="AC24" s="5">
        <v>26</v>
      </c>
      <c r="AD24" s="5">
        <v>27</v>
      </c>
      <c r="AE24" s="5">
        <v>28</v>
      </c>
      <c r="AF24" s="5">
        <v>29</v>
      </c>
      <c r="AG24" s="5">
        <v>30</v>
      </c>
      <c r="AH24" s="5">
        <v>31</v>
      </c>
      <c r="AI24" s="5">
        <v>32</v>
      </c>
      <c r="AJ24" s="5">
        <v>33</v>
      </c>
      <c r="AK24" s="5">
        <v>34</v>
      </c>
      <c r="AL24" s="5">
        <v>35</v>
      </c>
      <c r="AM24" s="5">
        <v>36</v>
      </c>
      <c r="AN24" s="5">
        <v>37</v>
      </c>
      <c r="AO24" s="5">
        <v>38</v>
      </c>
      <c r="AP24" s="5">
        <v>39</v>
      </c>
      <c r="AQ24" s="5">
        <v>40</v>
      </c>
    </row>
    <row r="25" spans="2:43">
      <c r="B25" s="6" t="s">
        <v>273</v>
      </c>
      <c r="C25" s="132" t="s">
        <v>8</v>
      </c>
      <c r="D25" s="7">
        <f>Parametre!C13</f>
        <v>2024</v>
      </c>
      <c r="E25" s="7">
        <f>$D$25+D24</f>
        <v>2025</v>
      </c>
      <c r="F25" s="7">
        <f>$D$25+E24</f>
        <v>2026</v>
      </c>
      <c r="G25" s="7">
        <f>$D$25+F24</f>
        <v>2027</v>
      </c>
      <c r="H25" s="7">
        <f t="shared" ref="H25:AF25" si="0">$D$25+G24</f>
        <v>2028</v>
      </c>
      <c r="I25" s="7">
        <f t="shared" si="0"/>
        <v>2029</v>
      </c>
      <c r="J25" s="7">
        <f t="shared" si="0"/>
        <v>2030</v>
      </c>
      <c r="K25" s="7">
        <f t="shared" si="0"/>
        <v>2031</v>
      </c>
      <c r="L25" s="7">
        <f t="shared" si="0"/>
        <v>2032</v>
      </c>
      <c r="M25" s="7">
        <f t="shared" si="0"/>
        <v>2033</v>
      </c>
      <c r="N25" s="7">
        <f t="shared" si="0"/>
        <v>2034</v>
      </c>
      <c r="O25" s="7">
        <f t="shared" si="0"/>
        <v>2035</v>
      </c>
      <c r="P25" s="7">
        <f t="shared" si="0"/>
        <v>2036</v>
      </c>
      <c r="Q25" s="7">
        <f t="shared" si="0"/>
        <v>2037</v>
      </c>
      <c r="R25" s="7">
        <f t="shared" si="0"/>
        <v>2038</v>
      </c>
      <c r="S25" s="7">
        <f t="shared" si="0"/>
        <v>2039</v>
      </c>
      <c r="T25" s="7">
        <f t="shared" si="0"/>
        <v>2040</v>
      </c>
      <c r="U25" s="7">
        <f t="shared" si="0"/>
        <v>2041</v>
      </c>
      <c r="V25" s="7">
        <f t="shared" si="0"/>
        <v>2042</v>
      </c>
      <c r="W25" s="7">
        <f t="shared" si="0"/>
        <v>2043</v>
      </c>
      <c r="X25" s="7">
        <f t="shared" si="0"/>
        <v>2044</v>
      </c>
      <c r="Y25" s="7">
        <f t="shared" si="0"/>
        <v>2045</v>
      </c>
      <c r="Z25" s="7">
        <f t="shared" si="0"/>
        <v>2046</v>
      </c>
      <c r="AA25" s="7">
        <f t="shared" si="0"/>
        <v>2047</v>
      </c>
      <c r="AB25" s="7">
        <f t="shared" si="0"/>
        <v>2048</v>
      </c>
      <c r="AC25" s="7">
        <f t="shared" si="0"/>
        <v>2049</v>
      </c>
      <c r="AD25" s="7">
        <f t="shared" si="0"/>
        <v>2050</v>
      </c>
      <c r="AE25" s="7">
        <f t="shared" si="0"/>
        <v>2051</v>
      </c>
      <c r="AF25" s="7">
        <f t="shared" si="0"/>
        <v>2052</v>
      </c>
      <c r="AG25" s="7">
        <f t="shared" ref="AG25" si="1">$D$25+AF24</f>
        <v>2053</v>
      </c>
      <c r="AH25" s="7">
        <f t="shared" ref="AH25" si="2">$D$25+AG24</f>
        <v>2054</v>
      </c>
      <c r="AI25" s="7">
        <f t="shared" ref="AI25" si="3">$D$25+AH24</f>
        <v>2055</v>
      </c>
      <c r="AJ25" s="7">
        <f t="shared" ref="AJ25" si="4">$D$25+AI24</f>
        <v>2056</v>
      </c>
      <c r="AK25" s="7">
        <f t="shared" ref="AK25" si="5">$D$25+AJ24</f>
        <v>2057</v>
      </c>
      <c r="AL25" s="7">
        <f t="shared" ref="AL25" si="6">$D$25+AK24</f>
        <v>2058</v>
      </c>
      <c r="AM25" s="7">
        <f t="shared" ref="AM25" si="7">$D$25+AL24</f>
        <v>2059</v>
      </c>
      <c r="AN25" s="7">
        <f t="shared" ref="AN25" si="8">$D$25+AM24</f>
        <v>2060</v>
      </c>
      <c r="AO25" s="7">
        <f t="shared" ref="AO25" si="9">$D$25+AN24</f>
        <v>2061</v>
      </c>
      <c r="AP25" s="7">
        <f t="shared" ref="AP25" si="10">$D$25+AO24</f>
        <v>2062</v>
      </c>
      <c r="AQ25" s="7">
        <f t="shared" ref="AQ25" si="11">$D$25+AP24</f>
        <v>2063</v>
      </c>
    </row>
    <row r="26" spans="2:43">
      <c r="B26" s="3" t="s">
        <v>74</v>
      </c>
      <c r="C26" s="8">
        <f>SUM(D26:AQ26)</f>
        <v>44812206.926146701</v>
      </c>
      <c r="D26" s="8">
        <f>'01 Investičné výdavky'!D35</f>
        <v>1781238.350620894</v>
      </c>
      <c r="E26" s="8">
        <f>'01 Investičné výdavky'!E35</f>
        <v>12093670.906847121</v>
      </c>
      <c r="F26" s="8">
        <f>'01 Investičné výdavky'!F35</f>
        <v>10312432.556226229</v>
      </c>
      <c r="G26" s="8">
        <f>'01 Investičné výdavky'!G35</f>
        <v>20624865.112452459</v>
      </c>
      <c r="H26" s="8">
        <f>'01 Investičné výdavky'!H35</f>
        <v>0</v>
      </c>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row>
    <row r="27" spans="2:43">
      <c r="B27" s="3" t="s">
        <v>274</v>
      </c>
      <c r="C27" s="8">
        <f>SUM(D27:AQ27)</f>
        <v>0</v>
      </c>
      <c r="D27" s="9">
        <v>0</v>
      </c>
      <c r="E27" s="9">
        <v>0</v>
      </c>
      <c r="F27" s="9">
        <v>0</v>
      </c>
      <c r="G27" s="9">
        <v>0</v>
      </c>
      <c r="H27" s="9">
        <v>0</v>
      </c>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row>
    <row r="28" spans="2:43">
      <c r="B28" s="3" t="s">
        <v>265</v>
      </c>
      <c r="C28" s="8">
        <f t="shared" ref="C28:C29" si="12">SUM(D28:AQ28)</f>
        <v>26749825.054938339</v>
      </c>
      <c r="D28" s="8">
        <f>$D$11*$C$19*'01 Investičné výdavky'!D38</f>
        <v>1187492.2337472627</v>
      </c>
      <c r="E28" s="8">
        <f>$D$11*$C$19*'01 Investičné výdavky'!E38</f>
        <v>7281202.3806082159</v>
      </c>
      <c r="F28" s="8">
        <f>$D$11*$C$19*'01 Investičné výdavky'!F38</f>
        <v>6093710.1468609534</v>
      </c>
      <c r="G28" s="8">
        <f>$D$11*$C$19*'01 Investičné výdavky'!G38</f>
        <v>12187420.293721907</v>
      </c>
      <c r="H28" s="8">
        <f>$D$11*$C$19*'01 Investičné výdavky'!H38</f>
        <v>0</v>
      </c>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row>
    <row r="29" spans="2:43">
      <c r="B29" s="3" t="s">
        <v>266</v>
      </c>
      <c r="C29" s="8">
        <f t="shared" si="12"/>
        <v>18062381.871208362</v>
      </c>
      <c r="D29" s="8">
        <f>D26-D28</f>
        <v>593746.11687363125</v>
      </c>
      <c r="E29" s="8">
        <f t="shared" ref="E29:F29" si="13">E26-E28</f>
        <v>4812468.5262389053</v>
      </c>
      <c r="F29" s="8">
        <f t="shared" si="13"/>
        <v>4218722.4093652759</v>
      </c>
      <c r="G29" s="8">
        <f t="shared" ref="G29:H29" si="14">G26-G28</f>
        <v>8437444.8187305517</v>
      </c>
      <c r="H29" s="8">
        <f t="shared" si="14"/>
        <v>0</v>
      </c>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row>
    <row r="30" spans="2:43">
      <c r="B30" s="1" t="s">
        <v>271</v>
      </c>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row>
    <row r="31" spans="2:43">
      <c r="B31" s="1" t="s">
        <v>275</v>
      </c>
    </row>
  </sheetData>
  <phoneticPr fontId="7" type="noConversion"/>
  <pageMargins left="0.1953125" right="0.34375" top="1" bottom="1" header="0.5" footer="0.5"/>
  <pageSetup scale="75" orientation="landscape" r:id="rId1"/>
  <headerFooter alignWithMargins="0">
    <oddFooter>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18</vt:i4>
      </vt:variant>
      <vt:variant>
        <vt:lpstr>Pomenované rozsahy</vt:lpstr>
      </vt:variant>
      <vt:variant>
        <vt:i4>2</vt:i4>
      </vt:variant>
    </vt:vector>
  </HeadingPairs>
  <TitlesOfParts>
    <vt:vector size="20" baseType="lpstr">
      <vt:lpstr>Parametre</vt:lpstr>
      <vt:lpstr>Cenová inflácia</vt:lpstr>
      <vt:lpstr>Hrubý domáci produkt</vt:lpstr>
      <vt:lpstr>Vstupy FA</vt:lpstr>
      <vt:lpstr>01 Investičné výdavky</vt:lpstr>
      <vt:lpstr>02 Zostatková hodnota</vt:lpstr>
      <vt:lpstr>03 Prevádzkové výdavky</vt:lpstr>
      <vt:lpstr>04 Prevádzkové príjmy</vt:lpstr>
      <vt:lpstr>05 Financovanie</vt:lpstr>
      <vt:lpstr>06 Finančná analýza</vt:lpstr>
      <vt:lpstr>Vstupy EA</vt:lpstr>
      <vt:lpstr>07 Čas cestujúcich</vt:lpstr>
      <vt:lpstr>08 Ekonomická analýza</vt:lpstr>
      <vt:lpstr>09 CA_FNPV_C</vt:lpstr>
      <vt:lpstr>10 CA_ENPV</vt:lpstr>
      <vt:lpstr>11 Analýza scenárov</vt:lpstr>
      <vt:lpstr>12 Kvalitatívna analýza</vt:lpstr>
      <vt:lpstr>13 Pravdepodobnostná analýza</vt:lpstr>
      <vt:lpstr>'10 CA_ENPV'!Oblasť_tlače</vt:lpstr>
      <vt:lpstr>'13 Pravdepodobnostná analýza'!Oblasť_tlače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Molnár, Alexander</dc:creator>
  <cp:lastModifiedBy>Smolka, Peter</cp:lastModifiedBy>
  <cp:lastPrinted>2011-06-09T11:45:53Z</cp:lastPrinted>
  <dcterms:created xsi:type="dcterms:W3CDTF">2011-05-19T08:19:19Z</dcterms:created>
  <dcterms:modified xsi:type="dcterms:W3CDTF">2023-03-17T12:23:26Z</dcterms:modified>
</cp:coreProperties>
</file>