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C:\Users\martin.sedlacek\OneDrive - SoftwareONE\Documents\MIS\"/>
    </mc:Choice>
  </mc:AlternateContent>
  <xr:revisionPtr revIDLastSave="1" documentId="6_{A748994A-31DC-45DB-B269-2164686126F3}" xr6:coauthVersionLast="43" xr6:coauthVersionMax="43" xr10:uidLastSave="{66796B8C-4EBF-4D96-A343-14AE90F241ED}"/>
  <bookViews>
    <workbookView xWindow="19090" yWindow="-110" windowWidth="19420" windowHeight="10420" tabRatio="838" activeTab="3" xr2:uid="{00000000-000D-0000-FFFF-FFFF00000000}"/>
  </bookViews>
  <sheets>
    <sheet name="Úvod" sheetId="5" r:id="rId1"/>
    <sheet name="Zoznam hárkov" sheetId="25" r:id="rId2"/>
    <sheet name="Sumarizácia" sheetId="20" r:id="rId3"/>
    <sheet name="CBA - Agendové IS" sheetId="2" r:id="rId4"/>
    <sheet name="Analyza citlivosti - AgendovéIS" sheetId="7" r:id="rId5"/>
    <sheet name="Prínosy - Agendové IS" sheetId="4" r:id="rId6"/>
    <sheet name="Výdavky - Agendové IS" sheetId="6" r:id="rId7"/>
    <sheet name="Parametre - Agendové IS" sheetId="3" r:id="rId8"/>
    <sheet name="TCO" sheetId="11" r:id="rId9"/>
    <sheet name="TCO AS IS - SW" sheetId="17" r:id="rId10"/>
    <sheet name="TCO AS IS - HW" sheetId="18" r:id="rId11"/>
    <sheet name="TCO TO BE- SW" sheetId="9" r:id="rId12"/>
    <sheet name="TCO TO BE - HW" sheetId="10" r:id="rId13"/>
    <sheet name="Rozpočet - vývoj Aplikácií" sheetId="19" r:id="rId14"/>
    <sheet name="Rozpočet - HW a licencie" sheetId="27" r:id="rId15"/>
    <sheet name="Aktivity" sheetId="28" r:id="rId16"/>
    <sheet name="Slepý rozpočet" sheetId="26" r:id="rId17"/>
    <sheet name="Faktory" sheetId="1" r:id="rId18"/>
    <sheet name="Procesné mapy" sheetId="22" r:id="rId19"/>
    <sheet name="Procesy - AS IS" sheetId="23" r:id="rId20"/>
    <sheet name="Procesy - TO BE" sheetId="24" r:id="rId21"/>
    <sheet name="Rozdelenie prínosov" sheetId="14" r:id="rId22"/>
  </sheets>
  <definedNames>
    <definedName name="_xlnm.Print_Area" localSheetId="18">'Procesné mapy'!$A$1:$AS$84</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64" i="3" l="1"/>
  <c r="N63" i="3"/>
  <c r="N62" i="3"/>
  <c r="N61" i="3"/>
  <c r="N60" i="3"/>
  <c r="N59" i="3"/>
  <c r="N58" i="3"/>
  <c r="N57" i="3"/>
  <c r="N56" i="3"/>
  <c r="D16" i="1"/>
  <c r="E63" i="3" l="1"/>
  <c r="E59" i="3"/>
  <c r="O56" i="3"/>
  <c r="O57" i="3"/>
  <c r="O58" i="3"/>
  <c r="O59" i="3"/>
  <c r="O62" i="3"/>
  <c r="E56" i="3"/>
  <c r="E57" i="3"/>
  <c r="E58" i="3"/>
  <c r="E60" i="3"/>
  <c r="E61" i="3"/>
  <c r="E62" i="3"/>
  <c r="E64" i="3"/>
  <c r="D56" i="3"/>
  <c r="D57" i="3"/>
  <c r="D58" i="3"/>
  <c r="D61" i="3"/>
  <c r="D64" i="3"/>
  <c r="D63" i="3"/>
  <c r="O64" i="3"/>
  <c r="D62" i="3"/>
  <c r="O61" i="3"/>
  <c r="O60" i="3"/>
  <c r="D59" i="3"/>
  <c r="E20" i="27"/>
  <c r="O63" i="3" l="1"/>
  <c r="D60" i="3"/>
  <c r="F70" i="10" l="1"/>
  <c r="F71" i="10"/>
  <c r="F72" i="10"/>
  <c r="F73" i="10"/>
  <c r="F74" i="10"/>
  <c r="D8" i="1"/>
  <c r="F114" i="9"/>
  <c r="G114" i="9"/>
  <c r="H114" i="9"/>
  <c r="I114" i="9"/>
  <c r="J114" i="9"/>
  <c r="K114" i="9"/>
  <c r="L114" i="9"/>
  <c r="F115" i="9"/>
  <c r="G115" i="9"/>
  <c r="H115" i="9"/>
  <c r="I115" i="9"/>
  <c r="J115" i="9"/>
  <c r="K115" i="9"/>
  <c r="L115" i="9"/>
  <c r="F116" i="9"/>
  <c r="G116" i="9"/>
  <c r="H116" i="9"/>
  <c r="I116" i="9"/>
  <c r="J116" i="9"/>
  <c r="K116" i="9"/>
  <c r="L116" i="9"/>
  <c r="F117" i="9"/>
  <c r="G117" i="9"/>
  <c r="H117" i="9"/>
  <c r="I117" i="9"/>
  <c r="J117" i="9"/>
  <c r="K117" i="9"/>
  <c r="L117" i="9"/>
  <c r="F118" i="9"/>
  <c r="G118" i="9"/>
  <c r="H118" i="9"/>
  <c r="I118" i="9"/>
  <c r="J118" i="9"/>
  <c r="K118" i="9"/>
  <c r="L118" i="9"/>
  <c r="F104" i="9"/>
  <c r="G104" i="9"/>
  <c r="H104" i="9"/>
  <c r="I104" i="9"/>
  <c r="J104" i="9"/>
  <c r="K104" i="9"/>
  <c r="L104" i="9"/>
  <c r="F105" i="9"/>
  <c r="G105" i="9"/>
  <c r="H105" i="9"/>
  <c r="I105" i="9"/>
  <c r="J105" i="9"/>
  <c r="K105" i="9"/>
  <c r="L105" i="9"/>
  <c r="F106" i="9"/>
  <c r="G106" i="9"/>
  <c r="H106" i="9"/>
  <c r="I106" i="9"/>
  <c r="J106" i="9"/>
  <c r="K106" i="9"/>
  <c r="L106" i="9"/>
  <c r="F107" i="9"/>
  <c r="G107" i="9"/>
  <c r="H107" i="9"/>
  <c r="I107" i="9"/>
  <c r="J107" i="9"/>
  <c r="K107" i="9"/>
  <c r="L107" i="9"/>
  <c r="F108" i="9"/>
  <c r="G108" i="9"/>
  <c r="H108" i="9"/>
  <c r="I108" i="9"/>
  <c r="J108" i="9"/>
  <c r="K108" i="9"/>
  <c r="L108" i="9"/>
  <c r="F84" i="9"/>
  <c r="G84" i="9"/>
  <c r="H84" i="9"/>
  <c r="I84" i="9"/>
  <c r="J84" i="9"/>
  <c r="K84" i="9"/>
  <c r="L84" i="9"/>
  <c r="F85" i="9"/>
  <c r="G85" i="9"/>
  <c r="H85" i="9"/>
  <c r="I85" i="9"/>
  <c r="J85" i="9"/>
  <c r="K85" i="9"/>
  <c r="L85" i="9"/>
  <c r="F86" i="9"/>
  <c r="G86" i="9"/>
  <c r="H86" i="9"/>
  <c r="I86" i="9"/>
  <c r="J86" i="9"/>
  <c r="K86" i="9"/>
  <c r="L86" i="9"/>
  <c r="F87" i="9"/>
  <c r="G87" i="9"/>
  <c r="H87" i="9"/>
  <c r="I87" i="9"/>
  <c r="J87" i="9"/>
  <c r="K87" i="9"/>
  <c r="L87" i="9"/>
  <c r="F88" i="9"/>
  <c r="G88" i="9"/>
  <c r="H88" i="9"/>
  <c r="I88" i="9"/>
  <c r="J88" i="9"/>
  <c r="K88" i="9"/>
  <c r="L88" i="9"/>
  <c r="F63" i="9"/>
  <c r="G63" i="9"/>
  <c r="H63" i="9"/>
  <c r="I63" i="9"/>
  <c r="J63" i="9"/>
  <c r="K63" i="9"/>
  <c r="L63" i="9"/>
  <c r="F64" i="9"/>
  <c r="G64" i="9"/>
  <c r="H64" i="9"/>
  <c r="I64" i="9"/>
  <c r="J64" i="9"/>
  <c r="K64" i="9"/>
  <c r="L64" i="9"/>
  <c r="F65" i="9"/>
  <c r="G65" i="9"/>
  <c r="H65" i="9"/>
  <c r="I65" i="9"/>
  <c r="J65" i="9"/>
  <c r="K65" i="9"/>
  <c r="L65" i="9"/>
  <c r="F66" i="9"/>
  <c r="G66" i="9"/>
  <c r="H66" i="9"/>
  <c r="I66" i="9"/>
  <c r="J66" i="9"/>
  <c r="K66" i="9"/>
  <c r="L66" i="9"/>
  <c r="F67" i="9"/>
  <c r="G67" i="9"/>
  <c r="H67" i="9"/>
  <c r="I67" i="9"/>
  <c r="J67" i="9"/>
  <c r="K67" i="9"/>
  <c r="L67" i="9"/>
  <c r="N37" i="3"/>
  <c r="N38" i="3"/>
  <c r="N39" i="3"/>
  <c r="N40" i="3"/>
  <c r="N41" i="3"/>
  <c r="N42" i="3"/>
  <c r="N43" i="3"/>
  <c r="N44" i="3"/>
  <c r="N36" i="3"/>
  <c r="M36" i="3"/>
  <c r="M37" i="3"/>
  <c r="M38" i="3"/>
  <c r="M39" i="3"/>
  <c r="M40" i="3"/>
  <c r="M41" i="3"/>
  <c r="M42" i="3"/>
  <c r="M43" i="3"/>
  <c r="M44" i="3"/>
  <c r="M35" i="3"/>
  <c r="J37" i="3"/>
  <c r="J38" i="3"/>
  <c r="J39" i="3"/>
  <c r="J40" i="3"/>
  <c r="J41" i="3"/>
  <c r="J42" i="3"/>
  <c r="J43" i="3"/>
  <c r="J44" i="3"/>
  <c r="J36" i="3"/>
  <c r="G36" i="3"/>
  <c r="G37" i="3"/>
  <c r="G38" i="3"/>
  <c r="G39" i="3"/>
  <c r="G40" i="3"/>
  <c r="G41" i="3"/>
  <c r="G42" i="3"/>
  <c r="G43" i="3"/>
  <c r="G44" i="3"/>
  <c r="G35" i="3"/>
  <c r="K37" i="3"/>
  <c r="K38" i="3"/>
  <c r="K39" i="3"/>
  <c r="K40" i="3"/>
  <c r="K41" i="3"/>
  <c r="K42" i="3"/>
  <c r="K43" i="3"/>
  <c r="K44" i="3"/>
  <c r="K36" i="3"/>
  <c r="J35" i="3"/>
  <c r="H37" i="3"/>
  <c r="H38" i="3"/>
  <c r="H39" i="3"/>
  <c r="H40" i="3"/>
  <c r="H41" i="3"/>
  <c r="H42" i="3"/>
  <c r="H43" i="3"/>
  <c r="H44" i="3"/>
  <c r="H36" i="3"/>
  <c r="N10" i="3"/>
  <c r="O10" i="3" s="1"/>
  <c r="N11" i="3"/>
  <c r="O11" i="3" s="1"/>
  <c r="N12" i="3"/>
  <c r="O12" i="3" s="1"/>
  <c r="N13" i="3"/>
  <c r="O13" i="3" s="1"/>
  <c r="N14" i="3"/>
  <c r="M10" i="3"/>
  <c r="M11" i="3"/>
  <c r="M12" i="3"/>
  <c r="M13" i="3"/>
  <c r="M14" i="3"/>
  <c r="K10" i="3"/>
  <c r="K11" i="3"/>
  <c r="L11" i="3" s="1"/>
  <c r="K12" i="3"/>
  <c r="L12" i="3" s="1"/>
  <c r="K13" i="3"/>
  <c r="L13" i="3" s="1"/>
  <c r="K14" i="3"/>
  <c r="J10" i="3"/>
  <c r="L10" i="3" s="1"/>
  <c r="J11" i="3"/>
  <c r="J12" i="3"/>
  <c r="J13" i="3"/>
  <c r="J14" i="3"/>
  <c r="H10" i="3"/>
  <c r="I10" i="3" s="1"/>
  <c r="H11" i="3"/>
  <c r="I11" i="3" s="1"/>
  <c r="H12" i="3"/>
  <c r="I12" i="3" s="1"/>
  <c r="H13" i="3"/>
  <c r="I13" i="3" s="1"/>
  <c r="H14" i="3"/>
  <c r="G10" i="3"/>
  <c r="G11" i="3"/>
  <c r="G12" i="3"/>
  <c r="G13" i="3"/>
  <c r="G14" i="3"/>
  <c r="I44" i="3" l="1"/>
  <c r="O44" i="3"/>
  <c r="L44" i="3"/>
  <c r="K5" i="28"/>
  <c r="E7" i="28" s="1"/>
  <c r="K6" i="28"/>
  <c r="E8" i="28" s="1"/>
  <c r="E11" i="28"/>
  <c r="K8" i="28"/>
  <c r="E10" i="28" s="1"/>
  <c r="K7" i="28"/>
  <c r="E9" i="28" s="1"/>
  <c r="BR57" i="19" l="1"/>
  <c r="F68" i="10" s="1"/>
  <c r="BQ57" i="19"/>
  <c r="BL57" i="19"/>
  <c r="BK57" i="19"/>
  <c r="F67" i="10"/>
  <c r="F111" i="9"/>
  <c r="J111" i="9"/>
  <c r="G112" i="9"/>
  <c r="K112" i="9"/>
  <c r="H113" i="9"/>
  <c r="J113" i="9"/>
  <c r="L113" i="9"/>
  <c r="H110" i="9"/>
  <c r="J110" i="9"/>
  <c r="L110" i="9"/>
  <c r="G100" i="9"/>
  <c r="H100" i="9"/>
  <c r="I100" i="9"/>
  <c r="J100" i="9"/>
  <c r="K100" i="9"/>
  <c r="L100" i="9"/>
  <c r="G101" i="9"/>
  <c r="H101" i="9"/>
  <c r="I101" i="9"/>
  <c r="J101" i="9"/>
  <c r="K101" i="9"/>
  <c r="L101" i="9"/>
  <c r="G102" i="9"/>
  <c r="H102" i="9"/>
  <c r="I102" i="9"/>
  <c r="J102" i="9"/>
  <c r="K102" i="9"/>
  <c r="L102" i="9"/>
  <c r="G103" i="9"/>
  <c r="H103" i="9"/>
  <c r="I103" i="9"/>
  <c r="J103" i="9"/>
  <c r="K103" i="9"/>
  <c r="L103" i="9"/>
  <c r="F101" i="9"/>
  <c r="F102" i="9"/>
  <c r="F103" i="9"/>
  <c r="F100" i="9"/>
  <c r="F110" i="9" l="1"/>
  <c r="I110" i="9"/>
  <c r="K113" i="9"/>
  <c r="G113" i="9"/>
  <c r="J112" i="9"/>
  <c r="F112" i="9"/>
  <c r="I111" i="9"/>
  <c r="F66" i="10"/>
  <c r="F113" i="9"/>
  <c r="I112" i="9"/>
  <c r="L111" i="9"/>
  <c r="H111" i="9"/>
  <c r="F69" i="10"/>
  <c r="K110" i="9"/>
  <c r="G110" i="9"/>
  <c r="I113" i="9"/>
  <c r="L112" i="9"/>
  <c r="H112" i="9"/>
  <c r="K111" i="9"/>
  <c r="G111" i="9"/>
  <c r="E106" i="9"/>
  <c r="E107" i="9"/>
  <c r="E100" i="9"/>
  <c r="E104" i="9" l="1"/>
  <c r="E105" i="9"/>
  <c r="E103" i="9"/>
  <c r="E102" i="9"/>
  <c r="E101" i="9"/>
  <c r="G9" i="3"/>
  <c r="H9" i="3"/>
  <c r="I9" i="3"/>
  <c r="J9" i="3"/>
  <c r="K9" i="3"/>
  <c r="M9" i="3"/>
  <c r="N9" i="3"/>
  <c r="O9" i="3" s="1"/>
  <c r="L41" i="3"/>
  <c r="L9" i="3" l="1"/>
  <c r="I41" i="3"/>
  <c r="O41" i="3"/>
  <c r="L42" i="3"/>
  <c r="I40" i="3"/>
  <c r="L39" i="3"/>
  <c r="O42" i="3"/>
  <c r="I42" i="3"/>
  <c r="I39" i="3"/>
  <c r="L8" i="28"/>
  <c r="O43" i="3"/>
  <c r="I43" i="3"/>
  <c r="O40" i="3"/>
  <c r="L40" i="3" l="1"/>
  <c r="O39" i="3"/>
  <c r="L43" i="3"/>
  <c r="G140" i="9" l="1"/>
  <c r="H140" i="9"/>
  <c r="I140" i="9"/>
  <c r="J140" i="9"/>
  <c r="K140" i="9"/>
  <c r="L140" i="9"/>
  <c r="F140" i="9"/>
  <c r="G130" i="9"/>
  <c r="H130" i="9"/>
  <c r="I130" i="9"/>
  <c r="J130" i="9"/>
  <c r="K130" i="9"/>
  <c r="L130" i="9"/>
  <c r="F130" i="9"/>
  <c r="BM35" i="19" l="1"/>
  <c r="BS57" i="19" l="1"/>
  <c r="E4" i="27"/>
  <c r="E3" i="27" l="1"/>
  <c r="J129" i="9"/>
  <c r="K129" i="9"/>
  <c r="J150" i="9"/>
  <c r="K150" i="9"/>
  <c r="BM52" i="19" l="1"/>
  <c r="M6" i="3"/>
  <c r="M7" i="3"/>
  <c r="M8" i="3"/>
  <c r="M5" i="3"/>
  <c r="N35" i="3" l="1"/>
  <c r="BK58" i="19"/>
  <c r="BQ58" i="19" s="1"/>
  <c r="BL58" i="19"/>
  <c r="BR58" i="19" s="1"/>
  <c r="BK59" i="19"/>
  <c r="BL59" i="19"/>
  <c r="BK60" i="19"/>
  <c r="BL60" i="19"/>
  <c r="J46" i="9" l="1"/>
  <c r="F46" i="9"/>
  <c r="K46" i="9"/>
  <c r="I46" i="9"/>
  <c r="G46" i="9"/>
  <c r="L46" i="9"/>
  <c r="H46" i="9"/>
  <c r="BK50" i="19"/>
  <c r="BQ50" i="19" s="1"/>
  <c r="BL50" i="19"/>
  <c r="BR50" i="19" s="1"/>
  <c r="BK51" i="19"/>
  <c r="BQ51" i="19" s="1"/>
  <c r="BL51" i="19"/>
  <c r="BR51" i="19" s="1"/>
  <c r="BK52" i="19"/>
  <c r="BQ52" i="19" s="1"/>
  <c r="BL52" i="19"/>
  <c r="BR52" i="19" s="1"/>
  <c r="BK53" i="19"/>
  <c r="BQ53" i="19" s="1"/>
  <c r="BL53" i="19"/>
  <c r="BR53" i="19" s="1"/>
  <c r="BK43" i="19"/>
  <c r="BQ43" i="19" s="1"/>
  <c r="BL43" i="19"/>
  <c r="BR43" i="19" s="1"/>
  <c r="BK14" i="19"/>
  <c r="BQ14" i="19" s="1"/>
  <c r="BL14" i="19"/>
  <c r="BR14" i="19" s="1"/>
  <c r="BK15" i="19"/>
  <c r="BQ15" i="19" s="1"/>
  <c r="BL15" i="19"/>
  <c r="BR15" i="19" s="1"/>
  <c r="BK6" i="19"/>
  <c r="BL6" i="19"/>
  <c r="BK7" i="19"/>
  <c r="BQ7" i="19" s="1"/>
  <c r="BL7" i="19"/>
  <c r="BR7" i="19" s="1"/>
  <c r="BK8" i="19"/>
  <c r="BQ8" i="19" s="1"/>
  <c r="BL8" i="19"/>
  <c r="BR8" i="19" s="1"/>
  <c r="BK9" i="19"/>
  <c r="BL9" i="19"/>
  <c r="BR9" i="19" s="1"/>
  <c r="BK10" i="19"/>
  <c r="BL10" i="19"/>
  <c r="BL5" i="19"/>
  <c r="BR5" i="19" s="1"/>
  <c r="BK5" i="19"/>
  <c r="BL38" i="19"/>
  <c r="BR38" i="19" s="1"/>
  <c r="BK38" i="19"/>
  <c r="BQ38" i="19" s="1"/>
  <c r="BL37" i="19"/>
  <c r="BR37" i="19" s="1"/>
  <c r="BK37" i="19"/>
  <c r="BQ37" i="19" s="1"/>
  <c r="BL36" i="19"/>
  <c r="BR36" i="19" s="1"/>
  <c r="BK36" i="19"/>
  <c r="BQ36" i="19" s="1"/>
  <c r="BL29" i="19"/>
  <c r="BR29" i="19" s="1"/>
  <c r="BK29" i="19"/>
  <c r="BQ29" i="19" s="1"/>
  <c r="BL28" i="19"/>
  <c r="BR28" i="19" s="1"/>
  <c r="BK28" i="19"/>
  <c r="BQ28" i="19" s="1"/>
  <c r="BL23" i="19"/>
  <c r="BR23" i="19" s="1"/>
  <c r="BK23" i="19"/>
  <c r="BQ23" i="19" s="1"/>
  <c r="BL22" i="19"/>
  <c r="BR22" i="19" s="1"/>
  <c r="BK22" i="19"/>
  <c r="BQ22" i="19" s="1"/>
  <c r="BL21" i="19"/>
  <c r="BR21" i="19" s="1"/>
  <c r="BK21" i="19"/>
  <c r="BQ21" i="19" s="1"/>
  <c r="BL24" i="19"/>
  <c r="BR24" i="19" s="1"/>
  <c r="BK24" i="19"/>
  <c r="BQ24" i="19" s="1"/>
  <c r="BL20" i="19"/>
  <c r="BR20" i="19" s="1"/>
  <c r="BK20" i="19"/>
  <c r="BQ20" i="19" s="1"/>
  <c r="L4" i="28" l="1"/>
  <c r="K4" i="28"/>
  <c r="E6" i="28" s="1"/>
  <c r="E55" i="3"/>
  <c r="D55" i="3"/>
  <c r="E54" i="3"/>
  <c r="D54" i="3"/>
  <c r="E53" i="3"/>
  <c r="D53" i="3"/>
  <c r="E52" i="3"/>
  <c r="D52" i="3"/>
  <c r="E51" i="3"/>
  <c r="D51" i="3"/>
  <c r="E50" i="3"/>
  <c r="D50" i="3"/>
  <c r="E49" i="3"/>
  <c r="D49" i="3"/>
  <c r="E44" i="3"/>
  <c r="D44" i="3"/>
  <c r="E43" i="3"/>
  <c r="D43" i="3"/>
  <c r="E42" i="3"/>
  <c r="D42" i="3"/>
  <c r="E41" i="3"/>
  <c r="D41" i="3"/>
  <c r="E40" i="3"/>
  <c r="D40" i="3"/>
  <c r="E39" i="3"/>
  <c r="D39" i="3"/>
  <c r="F34" i="3"/>
  <c r="E34" i="3"/>
  <c r="D34" i="3"/>
  <c r="F33" i="3"/>
  <c r="E33" i="3"/>
  <c r="D33" i="3"/>
  <c r="F32" i="3"/>
  <c r="E32" i="3"/>
  <c r="D32" i="3"/>
  <c r="F31" i="3"/>
  <c r="E31" i="3"/>
  <c r="D31" i="3"/>
  <c r="F30" i="3"/>
  <c r="E30" i="3"/>
  <c r="D30" i="3"/>
  <c r="F29" i="3"/>
  <c r="E29" i="3"/>
  <c r="D29" i="3"/>
  <c r="F28" i="3"/>
  <c r="E28" i="3"/>
  <c r="D28" i="3"/>
  <c r="F27" i="3"/>
  <c r="E27" i="3"/>
  <c r="D27" i="3"/>
  <c r="F26" i="3"/>
  <c r="E26" i="3"/>
  <c r="D26" i="3"/>
  <c r="F25" i="3"/>
  <c r="E25" i="3"/>
  <c r="D25" i="3"/>
  <c r="F24" i="3"/>
  <c r="E24" i="3"/>
  <c r="D24" i="3"/>
  <c r="F23" i="3"/>
  <c r="E23" i="3"/>
  <c r="D23" i="3"/>
  <c r="F22" i="3"/>
  <c r="E22" i="3"/>
  <c r="D22" i="3"/>
  <c r="F21" i="3"/>
  <c r="E21" i="3"/>
  <c r="D21" i="3"/>
  <c r="F20" i="3"/>
  <c r="E20" i="3"/>
  <c r="D20" i="3"/>
  <c r="F19" i="3"/>
  <c r="E19" i="3"/>
  <c r="D19" i="3"/>
  <c r="F18" i="3"/>
  <c r="E18" i="3"/>
  <c r="D18" i="3"/>
  <c r="F17" i="3"/>
  <c r="E17" i="3"/>
  <c r="D17" i="3"/>
  <c r="F16" i="3"/>
  <c r="E16" i="3"/>
  <c r="D16" i="3"/>
  <c r="F15" i="3"/>
  <c r="E15" i="3"/>
  <c r="D15" i="3"/>
  <c r="J6" i="3" l="1"/>
  <c r="J7" i="3"/>
  <c r="J8" i="3"/>
  <c r="J5" i="3"/>
  <c r="G6" i="3"/>
  <c r="G7" i="3"/>
  <c r="G8" i="3"/>
  <c r="G5" i="3"/>
  <c r="D36" i="3" l="1"/>
  <c r="K35" i="3"/>
  <c r="N6" i="3"/>
  <c r="N7" i="3"/>
  <c r="N8" i="3"/>
  <c r="K6" i="3"/>
  <c r="K7" i="3"/>
  <c r="K8" i="3"/>
  <c r="H6" i="3"/>
  <c r="H7" i="3"/>
  <c r="H8" i="3"/>
  <c r="P3" i="3"/>
  <c r="R45" i="3"/>
  <c r="R46" i="3"/>
  <c r="R47" i="3"/>
  <c r="R48" i="3"/>
  <c r="R49" i="3"/>
  <c r="R50" i="3"/>
  <c r="R51" i="3"/>
  <c r="R52" i="3"/>
  <c r="R53" i="3"/>
  <c r="R54" i="3"/>
  <c r="R55" i="3"/>
  <c r="R56" i="3"/>
  <c r="R57" i="3"/>
  <c r="R58" i="3"/>
  <c r="R59" i="3"/>
  <c r="R60" i="3"/>
  <c r="R61" i="3"/>
  <c r="R62" i="3"/>
  <c r="R63" i="3"/>
  <c r="R64" i="3"/>
  <c r="P66" i="3"/>
  <c r="P67" i="3"/>
  <c r="P68" i="3"/>
  <c r="P69" i="3"/>
  <c r="P70" i="3"/>
  <c r="P71" i="3"/>
  <c r="P72" i="3"/>
  <c r="P73" i="3"/>
  <c r="P74" i="3"/>
  <c r="P75" i="3"/>
  <c r="P86" i="3"/>
  <c r="Q86" i="3"/>
  <c r="P87" i="3"/>
  <c r="Q87" i="3"/>
  <c r="R87" i="3" s="1"/>
  <c r="P88" i="3"/>
  <c r="Q88" i="3"/>
  <c r="P89" i="3"/>
  <c r="Q89" i="3"/>
  <c r="P90" i="3"/>
  <c r="Q90" i="3"/>
  <c r="P91" i="3"/>
  <c r="Q91" i="3"/>
  <c r="P92" i="3"/>
  <c r="Q92" i="3"/>
  <c r="P93" i="3"/>
  <c r="Q93" i="3"/>
  <c r="P94" i="3"/>
  <c r="Q94" i="3"/>
  <c r="P95" i="3"/>
  <c r="Q95" i="3"/>
  <c r="P106" i="3"/>
  <c r="P107" i="3"/>
  <c r="P108" i="3"/>
  <c r="Q108" i="3"/>
  <c r="P109" i="3"/>
  <c r="Q109" i="3"/>
  <c r="P110" i="3"/>
  <c r="Q110" i="3"/>
  <c r="R110" i="3" s="1"/>
  <c r="P111" i="3"/>
  <c r="Q111" i="3"/>
  <c r="P112" i="3"/>
  <c r="Q112" i="3"/>
  <c r="P113" i="3"/>
  <c r="Q113" i="3"/>
  <c r="P114" i="3"/>
  <c r="Q114" i="3"/>
  <c r="P115" i="3"/>
  <c r="Q115" i="3"/>
  <c r="P116" i="3"/>
  <c r="Q116" i="3"/>
  <c r="P117" i="3"/>
  <c r="Q117" i="3"/>
  <c r="R117" i="3" s="1"/>
  <c r="P118" i="3"/>
  <c r="Q118" i="3"/>
  <c r="P119" i="3"/>
  <c r="Q119" i="3"/>
  <c r="P120" i="3"/>
  <c r="Q120" i="3"/>
  <c r="P121" i="3"/>
  <c r="Q121" i="3"/>
  <c r="P122" i="3"/>
  <c r="Q122" i="3"/>
  <c r="P123" i="3"/>
  <c r="Q123" i="3"/>
  <c r="P124" i="3"/>
  <c r="Q124" i="3"/>
  <c r="P125" i="3"/>
  <c r="Q125" i="3"/>
  <c r="P126" i="3"/>
  <c r="P127" i="3"/>
  <c r="P128" i="3"/>
  <c r="P129" i="3"/>
  <c r="P130" i="3"/>
  <c r="P131" i="3"/>
  <c r="P132" i="3"/>
  <c r="P133" i="3"/>
  <c r="P134" i="3"/>
  <c r="P135" i="3"/>
  <c r="R109" i="3" l="1"/>
  <c r="R88" i="3"/>
  <c r="D46" i="3"/>
  <c r="E37" i="3"/>
  <c r="R92" i="3"/>
  <c r="D38" i="3"/>
  <c r="H35" i="3"/>
  <c r="E35" i="3" s="1"/>
  <c r="D35" i="3"/>
  <c r="D37" i="3"/>
  <c r="E38" i="3"/>
  <c r="E48" i="3"/>
  <c r="D48" i="3"/>
  <c r="E45" i="3"/>
  <c r="D45" i="3"/>
  <c r="D47" i="3"/>
  <c r="R125" i="3"/>
  <c r="R119" i="3"/>
  <c r="R94" i="3"/>
  <c r="R118" i="3"/>
  <c r="R86" i="3"/>
  <c r="R90" i="3"/>
  <c r="R95" i="3"/>
  <c r="R93" i="3"/>
  <c r="R91" i="3"/>
  <c r="R89" i="3"/>
  <c r="R122" i="3"/>
  <c r="R120" i="3"/>
  <c r="R115" i="3"/>
  <c r="R113" i="3"/>
  <c r="R121" i="3"/>
  <c r="R114" i="3"/>
  <c r="R112" i="3"/>
  <c r="R123" i="3"/>
  <c r="R124" i="3"/>
  <c r="R116" i="3"/>
  <c r="R111" i="3"/>
  <c r="R108" i="3"/>
  <c r="Q107" i="3"/>
  <c r="R107" i="3" s="1"/>
  <c r="Q106" i="3"/>
  <c r="R106" i="3" s="1"/>
  <c r="E138" i="14"/>
  <c r="E137" i="14"/>
  <c r="E136" i="14"/>
  <c r="E135" i="14"/>
  <c r="E134" i="14"/>
  <c r="E133" i="14"/>
  <c r="E132" i="14"/>
  <c r="E131" i="14"/>
  <c r="E130" i="14"/>
  <c r="E129" i="14"/>
  <c r="E128" i="14"/>
  <c r="D128" i="14"/>
  <c r="E127" i="14"/>
  <c r="D127" i="14" s="1"/>
  <c r="E126" i="14"/>
  <c r="D126" i="14"/>
  <c r="E125" i="14"/>
  <c r="D125" i="14" s="1"/>
  <c r="E124" i="14"/>
  <c r="D124" i="14" s="1"/>
  <c r="E123" i="14"/>
  <c r="D123" i="14" s="1"/>
  <c r="E122" i="14"/>
  <c r="D122" i="14"/>
  <c r="E121" i="14"/>
  <c r="D121" i="14" s="1"/>
  <c r="E120" i="14"/>
  <c r="D120" i="14" s="1"/>
  <c r="E119" i="14"/>
  <c r="D119" i="14" s="1"/>
  <c r="E118" i="14"/>
  <c r="E117" i="14"/>
  <c r="E116" i="14"/>
  <c r="E115" i="14"/>
  <c r="E114" i="14"/>
  <c r="E113" i="14"/>
  <c r="E112" i="14"/>
  <c r="E111" i="14"/>
  <c r="E110" i="14"/>
  <c r="E109" i="14"/>
  <c r="A107" i="14"/>
  <c r="E103" i="14"/>
  <c r="E102" i="14"/>
  <c r="E101" i="14"/>
  <c r="E100" i="14"/>
  <c r="E99" i="14"/>
  <c r="E98" i="14"/>
  <c r="E97" i="14"/>
  <c r="E96" i="14"/>
  <c r="E95" i="14"/>
  <c r="E94" i="14"/>
  <c r="E93" i="14"/>
  <c r="D93" i="14" s="1"/>
  <c r="E92" i="14"/>
  <c r="D92" i="14" s="1"/>
  <c r="E91" i="14"/>
  <c r="D91" i="14"/>
  <c r="E90" i="14"/>
  <c r="D90" i="14" s="1"/>
  <c r="E89" i="14"/>
  <c r="D89" i="14" s="1"/>
  <c r="E88" i="14"/>
  <c r="D88" i="14" s="1"/>
  <c r="E87" i="14"/>
  <c r="D87" i="14"/>
  <c r="E86" i="14"/>
  <c r="D86" i="14" s="1"/>
  <c r="E85" i="14"/>
  <c r="D85" i="14" s="1"/>
  <c r="E84" i="14"/>
  <c r="D84" i="14" s="1"/>
  <c r="E83" i="14"/>
  <c r="E82" i="14"/>
  <c r="E81" i="14"/>
  <c r="E80" i="14"/>
  <c r="E79" i="14"/>
  <c r="E78" i="14"/>
  <c r="E77" i="14"/>
  <c r="E76" i="14"/>
  <c r="E75" i="14"/>
  <c r="E74" i="14"/>
  <c r="A72" i="14"/>
  <c r="E68" i="14"/>
  <c r="E67" i="14"/>
  <c r="E66" i="14"/>
  <c r="E65" i="14"/>
  <c r="E64" i="14"/>
  <c r="E63" i="14"/>
  <c r="E62" i="14"/>
  <c r="E61" i="14"/>
  <c r="E60" i="14"/>
  <c r="E59" i="14"/>
  <c r="E58" i="14"/>
  <c r="D58" i="14" s="1"/>
  <c r="E57" i="14"/>
  <c r="D57" i="14" s="1"/>
  <c r="E56" i="14"/>
  <c r="D56" i="14"/>
  <c r="E55" i="14"/>
  <c r="D55" i="14" s="1"/>
  <c r="E54" i="14"/>
  <c r="D54" i="14" s="1"/>
  <c r="E53" i="14"/>
  <c r="D53" i="14" s="1"/>
  <c r="E52" i="14"/>
  <c r="D52" i="14"/>
  <c r="E51" i="14"/>
  <c r="D51" i="14" s="1"/>
  <c r="E50" i="14"/>
  <c r="D50" i="14" s="1"/>
  <c r="E49" i="14"/>
  <c r="D49" i="14" s="1"/>
  <c r="E48" i="14"/>
  <c r="E47" i="14"/>
  <c r="E46" i="14"/>
  <c r="E45" i="14"/>
  <c r="E44" i="14"/>
  <c r="E43" i="14"/>
  <c r="E42" i="14"/>
  <c r="E41" i="14"/>
  <c r="E40" i="14"/>
  <c r="E39" i="14"/>
  <c r="A37" i="14"/>
  <c r="E33" i="14"/>
  <c r="E32" i="14"/>
  <c r="E31" i="14"/>
  <c r="E30" i="14"/>
  <c r="E29" i="14"/>
  <c r="E28" i="14"/>
  <c r="E27" i="14"/>
  <c r="E26" i="14"/>
  <c r="E25" i="14"/>
  <c r="E24" i="14"/>
  <c r="E23" i="14"/>
  <c r="D23" i="14" s="1"/>
  <c r="E22" i="14"/>
  <c r="D22" i="14"/>
  <c r="E21" i="14"/>
  <c r="D21" i="14" s="1"/>
  <c r="E20" i="14"/>
  <c r="D20" i="14" s="1"/>
  <c r="E19" i="14"/>
  <c r="D19" i="14" s="1"/>
  <c r="E18" i="14"/>
  <c r="D18" i="14" s="1"/>
  <c r="E17" i="14"/>
  <c r="D17" i="14" s="1"/>
  <c r="E16" i="14"/>
  <c r="D16" i="14" s="1"/>
  <c r="E15" i="14"/>
  <c r="D15" i="14" s="1"/>
  <c r="E14" i="14"/>
  <c r="D14" i="14" s="1"/>
  <c r="E13" i="14"/>
  <c r="E12" i="14"/>
  <c r="E11" i="14"/>
  <c r="E10" i="14"/>
  <c r="E9" i="14"/>
  <c r="E8" i="14"/>
  <c r="E7" i="14"/>
  <c r="E6" i="14"/>
  <c r="E5" i="14"/>
  <c r="E4" i="14"/>
  <c r="A2" i="14"/>
  <c r="AO12" i="26"/>
  <c r="AN12" i="26"/>
  <c r="AM12" i="26"/>
  <c r="AF12" i="26"/>
  <c r="AE12" i="26"/>
  <c r="AD12" i="26"/>
  <c r="AC12" i="26"/>
  <c r="AP11" i="26"/>
  <c r="AH11" i="26"/>
  <c r="AG11" i="26"/>
  <c r="AI11" i="26" s="1"/>
  <c r="AP10" i="26"/>
  <c r="AH10" i="26"/>
  <c r="AG10" i="26"/>
  <c r="AP9" i="26"/>
  <c r="AH9" i="26"/>
  <c r="AG9" i="26"/>
  <c r="AI9" i="26" s="1"/>
  <c r="AP8" i="26"/>
  <c r="AH8" i="26"/>
  <c r="AG8" i="26"/>
  <c r="AP7" i="26"/>
  <c r="AP12" i="26" s="1"/>
  <c r="AH7" i="26"/>
  <c r="AG7" i="26"/>
  <c r="AI7" i="26" s="1"/>
  <c r="AP6" i="26"/>
  <c r="AH6" i="26"/>
  <c r="AG6" i="26"/>
  <c r="E26" i="27"/>
  <c r="E25" i="27"/>
  <c r="E24" i="27"/>
  <c r="E23" i="27"/>
  <c r="E22" i="27"/>
  <c r="E21" i="27"/>
  <c r="F4" i="10"/>
  <c r="E19" i="27"/>
  <c r="E18" i="27"/>
  <c r="E17" i="27"/>
  <c r="E16" i="27"/>
  <c r="E15" i="27"/>
  <c r="E14" i="27"/>
  <c r="E13" i="27"/>
  <c r="E12" i="27"/>
  <c r="E11" i="27"/>
  <c r="E10" i="27"/>
  <c r="E9" i="27"/>
  <c r="E8" i="27"/>
  <c r="E7" i="27"/>
  <c r="E6" i="27"/>
  <c r="E5" i="27"/>
  <c r="BL56" i="19"/>
  <c r="BR56" i="19" s="1"/>
  <c r="BK56" i="19"/>
  <c r="BQ56" i="19" s="1"/>
  <c r="BL55" i="19"/>
  <c r="BR55" i="19" s="1"/>
  <c r="BK55" i="19"/>
  <c r="BQ55" i="19" s="1"/>
  <c r="BL54" i="19"/>
  <c r="BR54" i="19" s="1"/>
  <c r="BK54" i="19"/>
  <c r="BQ54" i="19" s="1"/>
  <c r="BL49" i="19"/>
  <c r="BR49" i="19" s="1"/>
  <c r="BK49" i="19"/>
  <c r="BQ49" i="19" s="1"/>
  <c r="BL47" i="19"/>
  <c r="BR47" i="19" s="1"/>
  <c r="BK47" i="19"/>
  <c r="BQ47" i="19" s="1"/>
  <c r="BL46" i="19"/>
  <c r="BR46" i="19" s="1"/>
  <c r="BK46" i="19"/>
  <c r="BQ46" i="19" s="1"/>
  <c r="BL45" i="19"/>
  <c r="BR45" i="19" s="1"/>
  <c r="BK45" i="19"/>
  <c r="BQ45" i="19" s="1"/>
  <c r="BL44" i="19"/>
  <c r="BR44" i="19" s="1"/>
  <c r="BK44" i="19"/>
  <c r="BQ44" i="19" s="1"/>
  <c r="BL42" i="19"/>
  <c r="BR42" i="19" s="1"/>
  <c r="BK42" i="19"/>
  <c r="BQ42" i="19" s="1"/>
  <c r="BL40" i="19"/>
  <c r="BR40" i="19" s="1"/>
  <c r="BK40" i="19"/>
  <c r="BQ40" i="19" s="1"/>
  <c r="BL39" i="19"/>
  <c r="BR39" i="19" s="1"/>
  <c r="BK39" i="19"/>
  <c r="BQ39" i="19" s="1"/>
  <c r="BL35" i="19"/>
  <c r="BR35" i="19" s="1"/>
  <c r="BK35" i="19"/>
  <c r="BQ35" i="19" s="1"/>
  <c r="BL33" i="19"/>
  <c r="BR33" i="19" s="1"/>
  <c r="BK33" i="19"/>
  <c r="BQ33" i="19" s="1"/>
  <c r="BL32" i="19"/>
  <c r="BR32" i="19" s="1"/>
  <c r="BK32" i="19"/>
  <c r="BQ32" i="19" s="1"/>
  <c r="BL31" i="19"/>
  <c r="BR31" i="19" s="1"/>
  <c r="BK31" i="19"/>
  <c r="BQ31" i="19" s="1"/>
  <c r="BL30" i="19"/>
  <c r="BR30" i="19" s="1"/>
  <c r="BK30" i="19"/>
  <c r="BQ30" i="19" s="1"/>
  <c r="BL27" i="19"/>
  <c r="BR27" i="19" s="1"/>
  <c r="BK27" i="19"/>
  <c r="BQ27" i="19" s="1"/>
  <c r="BL25" i="19"/>
  <c r="BR25" i="19" s="1"/>
  <c r="BK25" i="19"/>
  <c r="BQ25" i="19" s="1"/>
  <c r="BL19" i="19"/>
  <c r="BR19" i="19" s="1"/>
  <c r="BK19" i="19"/>
  <c r="BQ19" i="19" s="1"/>
  <c r="BL17" i="19"/>
  <c r="BR17" i="19" s="1"/>
  <c r="BK17" i="19"/>
  <c r="BQ17" i="19" s="1"/>
  <c r="BL16" i="19"/>
  <c r="BR16" i="19" s="1"/>
  <c r="BK16" i="19"/>
  <c r="BQ16" i="19" s="1"/>
  <c r="BL13" i="19"/>
  <c r="BR13" i="19" s="1"/>
  <c r="BK13" i="19"/>
  <c r="BQ13" i="19" s="1"/>
  <c r="BL12" i="19"/>
  <c r="BR12" i="19" s="1"/>
  <c r="BK12" i="19"/>
  <c r="BQ12" i="19" s="1"/>
  <c r="BQ10" i="19"/>
  <c r="BR10" i="19"/>
  <c r="BQ9" i="19"/>
  <c r="BR6" i="19"/>
  <c r="BQ6" i="19"/>
  <c r="BQ5" i="19"/>
  <c r="BS10" i="19" s="1"/>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35" i="10"/>
  <c r="E33" i="10"/>
  <c r="E32" i="10"/>
  <c r="E31" i="10"/>
  <c r="E30" i="10"/>
  <c r="E29" i="10"/>
  <c r="E28" i="10"/>
  <c r="E27" i="10"/>
  <c r="E26" i="10"/>
  <c r="E25" i="10"/>
  <c r="E24" i="10"/>
  <c r="E23" i="10"/>
  <c r="M12" i="11" s="1"/>
  <c r="M41" i="11" s="1"/>
  <c r="E22" i="10"/>
  <c r="E21" i="10"/>
  <c r="E20" i="10"/>
  <c r="E19" i="10"/>
  <c r="I12" i="11" s="1"/>
  <c r="I41" i="11" s="1"/>
  <c r="E18" i="10"/>
  <c r="E17" i="10"/>
  <c r="E16" i="10"/>
  <c r="E15" i="10"/>
  <c r="E12" i="11" s="1"/>
  <c r="E41" i="11" s="1"/>
  <c r="E14" i="10"/>
  <c r="E13" i="10"/>
  <c r="E12" i="10"/>
  <c r="E11" i="10"/>
  <c r="K12" i="11" s="1"/>
  <c r="K41" i="11" s="1"/>
  <c r="E10" i="10"/>
  <c r="E9" i="10"/>
  <c r="E8" i="10"/>
  <c r="E7" i="10"/>
  <c r="G12" i="11" s="1"/>
  <c r="G41" i="11" s="1"/>
  <c r="E6" i="10"/>
  <c r="E5" i="10"/>
  <c r="E170" i="9"/>
  <c r="E169" i="9"/>
  <c r="E168" i="9"/>
  <c r="E167" i="9"/>
  <c r="E166" i="9"/>
  <c r="E165" i="9"/>
  <c r="E164" i="9"/>
  <c r="E163" i="9"/>
  <c r="E162" i="9"/>
  <c r="E161" i="9"/>
  <c r="E160" i="9"/>
  <c r="M11" i="11" s="1"/>
  <c r="E159" i="9"/>
  <c r="E158" i="9"/>
  <c r="E157" i="9"/>
  <c r="E156" i="9"/>
  <c r="I11" i="11" s="1"/>
  <c r="E155" i="9"/>
  <c r="E154" i="9"/>
  <c r="E153" i="9"/>
  <c r="E152" i="9"/>
  <c r="E11" i="11" s="1"/>
  <c r="E151" i="9"/>
  <c r="L150" i="9"/>
  <c r="I150" i="9"/>
  <c r="H150" i="9"/>
  <c r="P14" i="20" s="1"/>
  <c r="G150" i="9"/>
  <c r="O14" i="20" s="1"/>
  <c r="F150" i="9"/>
  <c r="E149" i="9"/>
  <c r="E148" i="9"/>
  <c r="E147" i="9"/>
  <c r="E146" i="9"/>
  <c r="E145" i="9"/>
  <c r="E144" i="9"/>
  <c r="E143" i="9"/>
  <c r="E142" i="9"/>
  <c r="E141" i="9"/>
  <c r="E140" i="9"/>
  <c r="E139" i="9"/>
  <c r="E138" i="9"/>
  <c r="E137" i="9"/>
  <c r="E136" i="9"/>
  <c r="J14" i="11" s="1"/>
  <c r="J43" i="11" s="1"/>
  <c r="E135" i="9"/>
  <c r="E134" i="9"/>
  <c r="E133" i="9"/>
  <c r="E132" i="9"/>
  <c r="F14" i="11" s="1"/>
  <c r="E131" i="9"/>
  <c r="E130" i="9"/>
  <c r="L129" i="9"/>
  <c r="I129" i="9"/>
  <c r="H129" i="9"/>
  <c r="G129" i="9"/>
  <c r="F129" i="9"/>
  <c r="E128" i="9"/>
  <c r="E127" i="9"/>
  <c r="E126" i="9"/>
  <c r="E125" i="9"/>
  <c r="E124" i="9"/>
  <c r="E123" i="9"/>
  <c r="E122" i="9"/>
  <c r="E121" i="9"/>
  <c r="E120" i="9"/>
  <c r="E119" i="9"/>
  <c r="E118" i="9"/>
  <c r="E117" i="9"/>
  <c r="E116" i="9"/>
  <c r="E115" i="9"/>
  <c r="E114" i="9"/>
  <c r="E113" i="9"/>
  <c r="E109" i="9"/>
  <c r="E108" i="9"/>
  <c r="E99" i="9"/>
  <c r="E98" i="9"/>
  <c r="E97" i="9"/>
  <c r="E96" i="9"/>
  <c r="E95" i="9"/>
  <c r="E94" i="9"/>
  <c r="E93" i="9"/>
  <c r="E92" i="9"/>
  <c r="E91" i="9"/>
  <c r="E90" i="9"/>
  <c r="E89" i="9"/>
  <c r="E88" i="9"/>
  <c r="E79" i="9"/>
  <c r="E77" i="9"/>
  <c r="E76" i="9"/>
  <c r="E75" i="9"/>
  <c r="E74" i="9"/>
  <c r="E73" i="9"/>
  <c r="E72" i="9"/>
  <c r="E71" i="9"/>
  <c r="E70" i="9"/>
  <c r="E69" i="9"/>
  <c r="E68" i="9"/>
  <c r="E67" i="9"/>
  <c r="E58" i="9"/>
  <c r="E55" i="9"/>
  <c r="E54" i="9"/>
  <c r="E53" i="9"/>
  <c r="E52" i="9"/>
  <c r="E51" i="9"/>
  <c r="E50" i="9"/>
  <c r="E49" i="9"/>
  <c r="E48" i="9"/>
  <c r="E47" i="9"/>
  <c r="E46" i="9"/>
  <c r="E45" i="9"/>
  <c r="E44" i="9"/>
  <c r="L9" i="11" s="1"/>
  <c r="L38" i="11" s="1"/>
  <c r="E43" i="9"/>
  <c r="E42" i="9"/>
  <c r="E41" i="9"/>
  <c r="E40" i="9"/>
  <c r="H9" i="11" s="1"/>
  <c r="H38" i="11" s="1"/>
  <c r="E39" i="9"/>
  <c r="E38" i="9"/>
  <c r="E37" i="9"/>
  <c r="E36" i="9"/>
  <c r="E35" i="9"/>
  <c r="E34" i="9"/>
  <c r="E33" i="9"/>
  <c r="E32" i="9"/>
  <c r="J9" i="11" s="1"/>
  <c r="J38" i="11" s="1"/>
  <c r="E31" i="9"/>
  <c r="E30" i="9"/>
  <c r="E29" i="9"/>
  <c r="E28" i="9"/>
  <c r="F9" i="11" s="1"/>
  <c r="F38" i="11" s="1"/>
  <c r="E27" i="9"/>
  <c r="E24" i="9"/>
  <c r="E23" i="9"/>
  <c r="E22" i="9"/>
  <c r="E21" i="9"/>
  <c r="E20" i="9"/>
  <c r="E19" i="9"/>
  <c r="E18" i="9"/>
  <c r="G7" i="11" s="1"/>
  <c r="G36" i="11" s="1"/>
  <c r="E17" i="9"/>
  <c r="E16" i="9"/>
  <c r="E15" i="9"/>
  <c r="E14" i="9"/>
  <c r="E13" i="9"/>
  <c r="E12" i="9"/>
  <c r="E11" i="9"/>
  <c r="E10" i="9"/>
  <c r="E9" i="9"/>
  <c r="E8" i="9"/>
  <c r="E7" i="9"/>
  <c r="E6" i="9"/>
  <c r="E3" i="18"/>
  <c r="E25" i="17"/>
  <c r="E3" i="17" s="1"/>
  <c r="E4" i="17"/>
  <c r="M27" i="11"/>
  <c r="L27" i="11"/>
  <c r="K27" i="11"/>
  <c r="B11" i="6" s="1"/>
  <c r="J27" i="11"/>
  <c r="I27" i="11"/>
  <c r="H27" i="11"/>
  <c r="G27" i="11"/>
  <c r="B7" i="6" s="1"/>
  <c r="F27" i="11"/>
  <c r="E27" i="11"/>
  <c r="D27" i="11"/>
  <c r="M25" i="11"/>
  <c r="H13" i="6" s="1"/>
  <c r="L25" i="11"/>
  <c r="K25" i="11"/>
  <c r="J25" i="11"/>
  <c r="I25" i="11"/>
  <c r="H9" i="6" s="1"/>
  <c r="H25" i="11"/>
  <c r="G25" i="11"/>
  <c r="F25" i="11"/>
  <c r="E25" i="11"/>
  <c r="C25" i="11" s="1"/>
  <c r="D25" i="11"/>
  <c r="M23" i="11"/>
  <c r="L23" i="11"/>
  <c r="L28" i="11" s="1"/>
  <c r="K23" i="11"/>
  <c r="K28" i="11" s="1"/>
  <c r="J23" i="11"/>
  <c r="J28" i="11" s="1"/>
  <c r="I23" i="11"/>
  <c r="H23" i="11"/>
  <c r="H28" i="11" s="1"/>
  <c r="G23" i="11"/>
  <c r="G28" i="11" s="1"/>
  <c r="F23" i="11"/>
  <c r="F28" i="11" s="1"/>
  <c r="E23" i="11"/>
  <c r="D23" i="11"/>
  <c r="D28" i="11" s="1"/>
  <c r="I14" i="11"/>
  <c r="I43" i="11" s="1"/>
  <c r="L12" i="11"/>
  <c r="L41" i="11" s="1"/>
  <c r="J12" i="11"/>
  <c r="J41" i="11" s="1"/>
  <c r="H12" i="11"/>
  <c r="H41" i="11" s="1"/>
  <c r="F12" i="11"/>
  <c r="F41" i="11" s="1"/>
  <c r="K11" i="11"/>
  <c r="K40" i="11" s="1"/>
  <c r="G11" i="11"/>
  <c r="G40" i="11" s="1"/>
  <c r="G9" i="11"/>
  <c r="G38" i="11" s="1"/>
  <c r="L7" i="11"/>
  <c r="M135" i="3"/>
  <c r="J135" i="3"/>
  <c r="G135" i="3"/>
  <c r="M134" i="3"/>
  <c r="J134" i="3"/>
  <c r="G134" i="3"/>
  <c r="M133" i="3"/>
  <c r="J133" i="3"/>
  <c r="G133" i="3"/>
  <c r="M132" i="3"/>
  <c r="J132" i="3"/>
  <c r="G132" i="3"/>
  <c r="M131" i="3"/>
  <c r="J131" i="3"/>
  <c r="G131" i="3"/>
  <c r="M130" i="3"/>
  <c r="J130" i="3"/>
  <c r="G130" i="3"/>
  <c r="M129" i="3"/>
  <c r="J129" i="3"/>
  <c r="G129" i="3"/>
  <c r="M128" i="3"/>
  <c r="J128" i="3"/>
  <c r="G128" i="3"/>
  <c r="M127" i="3"/>
  <c r="J127" i="3"/>
  <c r="G127" i="3"/>
  <c r="S126" i="3"/>
  <c r="M126" i="3"/>
  <c r="J126" i="3"/>
  <c r="G126" i="3"/>
  <c r="N125" i="3"/>
  <c r="M125" i="3"/>
  <c r="K125" i="3"/>
  <c r="J125" i="3"/>
  <c r="H125" i="3"/>
  <c r="G125" i="3"/>
  <c r="N124" i="3"/>
  <c r="M124" i="3"/>
  <c r="K124" i="3"/>
  <c r="J124" i="3"/>
  <c r="H124" i="3"/>
  <c r="G124" i="3"/>
  <c r="N123" i="3"/>
  <c r="M123" i="3"/>
  <c r="K123" i="3"/>
  <c r="J123" i="3"/>
  <c r="H123" i="3"/>
  <c r="G123" i="3"/>
  <c r="N122" i="3"/>
  <c r="M122" i="3"/>
  <c r="K122" i="3"/>
  <c r="J122" i="3"/>
  <c r="H122" i="3"/>
  <c r="G122" i="3"/>
  <c r="N121" i="3"/>
  <c r="M121" i="3"/>
  <c r="K121" i="3"/>
  <c r="J121" i="3"/>
  <c r="H121" i="3"/>
  <c r="G121" i="3"/>
  <c r="N120" i="3"/>
  <c r="M120" i="3"/>
  <c r="K120" i="3"/>
  <c r="J120" i="3"/>
  <c r="H120" i="3"/>
  <c r="G120" i="3"/>
  <c r="N119" i="3"/>
  <c r="M119" i="3"/>
  <c r="K119" i="3"/>
  <c r="J119" i="3"/>
  <c r="H119" i="3"/>
  <c r="G119" i="3"/>
  <c r="N118" i="3"/>
  <c r="M118" i="3"/>
  <c r="K118" i="3"/>
  <c r="J118" i="3"/>
  <c r="H118" i="3"/>
  <c r="G118" i="3"/>
  <c r="D118" i="3" s="1"/>
  <c r="B6" i="4" s="1"/>
  <c r="Q6" i="4" s="1"/>
  <c r="N117" i="3"/>
  <c r="M117" i="3"/>
  <c r="K117" i="3"/>
  <c r="J117" i="3"/>
  <c r="H117" i="3"/>
  <c r="G117" i="3"/>
  <c r="N116" i="3"/>
  <c r="M116" i="3"/>
  <c r="K116" i="3"/>
  <c r="J116" i="3"/>
  <c r="H116" i="3"/>
  <c r="G116" i="3"/>
  <c r="N115" i="3"/>
  <c r="K115" i="3"/>
  <c r="H115" i="3"/>
  <c r="N114" i="3"/>
  <c r="K114" i="3"/>
  <c r="H114" i="3"/>
  <c r="N113" i="3"/>
  <c r="K113" i="3"/>
  <c r="H113" i="3"/>
  <c r="N112" i="3"/>
  <c r="K112" i="3"/>
  <c r="H112" i="3"/>
  <c r="N111" i="3"/>
  <c r="K111" i="3"/>
  <c r="H111" i="3"/>
  <c r="N110" i="3"/>
  <c r="K110" i="3"/>
  <c r="H110" i="3"/>
  <c r="N109" i="3"/>
  <c r="K109" i="3"/>
  <c r="H109" i="3"/>
  <c r="N108" i="3"/>
  <c r="K108" i="3"/>
  <c r="H108" i="3"/>
  <c r="D105" i="3"/>
  <c r="D104" i="3"/>
  <c r="D103" i="3"/>
  <c r="D102" i="3"/>
  <c r="D101" i="3"/>
  <c r="D100" i="3"/>
  <c r="D99" i="3"/>
  <c r="D98" i="3"/>
  <c r="D97" i="3"/>
  <c r="D96" i="3"/>
  <c r="D118" i="14"/>
  <c r="N95" i="3"/>
  <c r="D83" i="14" s="1"/>
  <c r="M95" i="3"/>
  <c r="K95" i="3"/>
  <c r="D48" i="14" s="1"/>
  <c r="J95" i="3"/>
  <c r="H95" i="3"/>
  <c r="G95" i="3"/>
  <c r="N94" i="3"/>
  <c r="M94" i="3"/>
  <c r="K94" i="3"/>
  <c r="J94" i="3"/>
  <c r="H94" i="3"/>
  <c r="G94" i="3"/>
  <c r="D116" i="14"/>
  <c r="N93" i="3"/>
  <c r="D81" i="14" s="1"/>
  <c r="M93" i="3"/>
  <c r="K93" i="3"/>
  <c r="D46" i="14" s="1"/>
  <c r="J93" i="3"/>
  <c r="H93" i="3"/>
  <c r="G93" i="3"/>
  <c r="N92" i="3"/>
  <c r="M92" i="3"/>
  <c r="K92" i="3"/>
  <c r="J92" i="3"/>
  <c r="H92" i="3"/>
  <c r="G92" i="3"/>
  <c r="D114" i="14"/>
  <c r="N91" i="3"/>
  <c r="D79" i="14" s="1"/>
  <c r="M91" i="3"/>
  <c r="K91" i="3"/>
  <c r="D44" i="14" s="1"/>
  <c r="J91" i="3"/>
  <c r="H91" i="3"/>
  <c r="G91" i="3"/>
  <c r="N90" i="3"/>
  <c r="M90" i="3"/>
  <c r="K90" i="3"/>
  <c r="J90" i="3"/>
  <c r="H90" i="3"/>
  <c r="G90" i="3"/>
  <c r="D112" i="14"/>
  <c r="N89" i="3"/>
  <c r="D77" i="14" s="1"/>
  <c r="M89" i="3"/>
  <c r="K89" i="3"/>
  <c r="D42" i="14" s="1"/>
  <c r="J89" i="3"/>
  <c r="H89" i="3"/>
  <c r="G89" i="3"/>
  <c r="N88" i="3"/>
  <c r="M88" i="3"/>
  <c r="K88" i="3"/>
  <c r="J88" i="3"/>
  <c r="H88" i="3"/>
  <c r="D6" i="14" s="1"/>
  <c r="G88" i="3"/>
  <c r="D110" i="14"/>
  <c r="N87" i="3"/>
  <c r="D75" i="14" s="1"/>
  <c r="M87" i="3"/>
  <c r="K87" i="3"/>
  <c r="D40" i="14" s="1"/>
  <c r="J87" i="3"/>
  <c r="H87" i="3"/>
  <c r="G87" i="3"/>
  <c r="N86" i="3"/>
  <c r="M86" i="3"/>
  <c r="K86" i="3"/>
  <c r="J86" i="3"/>
  <c r="G86" i="3"/>
  <c r="M85" i="3"/>
  <c r="J85" i="3"/>
  <c r="G85" i="3"/>
  <c r="M84" i="3"/>
  <c r="J84" i="3"/>
  <c r="G84" i="3"/>
  <c r="M83" i="3"/>
  <c r="J83" i="3"/>
  <c r="G83" i="3"/>
  <c r="M82" i="3"/>
  <c r="J82" i="3"/>
  <c r="G82" i="3"/>
  <c r="M81" i="3"/>
  <c r="J81" i="3"/>
  <c r="G81" i="3"/>
  <c r="M80" i="3"/>
  <c r="J80" i="3"/>
  <c r="G80" i="3"/>
  <c r="M79" i="3"/>
  <c r="J79" i="3"/>
  <c r="G79" i="3"/>
  <c r="M78" i="3"/>
  <c r="J78" i="3"/>
  <c r="G78" i="3"/>
  <c r="M77" i="3"/>
  <c r="J77" i="3"/>
  <c r="G77" i="3"/>
  <c r="M76" i="3"/>
  <c r="J76" i="3"/>
  <c r="G76" i="3"/>
  <c r="M75" i="3"/>
  <c r="J75" i="3"/>
  <c r="G75" i="3"/>
  <c r="M74" i="3"/>
  <c r="J74" i="3"/>
  <c r="G74" i="3"/>
  <c r="M73" i="3"/>
  <c r="J73" i="3"/>
  <c r="G73" i="3"/>
  <c r="M72" i="3"/>
  <c r="J72" i="3"/>
  <c r="G72" i="3"/>
  <c r="M71" i="3"/>
  <c r="J71" i="3"/>
  <c r="G71" i="3"/>
  <c r="M70" i="3"/>
  <c r="J70" i="3"/>
  <c r="G70" i="3"/>
  <c r="M69" i="3"/>
  <c r="J69" i="3"/>
  <c r="G69" i="3"/>
  <c r="M68" i="3"/>
  <c r="J68" i="3"/>
  <c r="G68" i="3"/>
  <c r="M67" i="3"/>
  <c r="J67" i="3"/>
  <c r="G67" i="3"/>
  <c r="S66" i="3"/>
  <c r="M66" i="3"/>
  <c r="J66" i="3"/>
  <c r="G66" i="3"/>
  <c r="L64" i="3"/>
  <c r="I64" i="3"/>
  <c r="L63" i="3"/>
  <c r="I63" i="3"/>
  <c r="L62" i="3"/>
  <c r="I62" i="3"/>
  <c r="L61" i="3"/>
  <c r="I61" i="3"/>
  <c r="L60" i="3"/>
  <c r="I60" i="3"/>
  <c r="L59" i="3"/>
  <c r="I59" i="3"/>
  <c r="L58" i="3"/>
  <c r="I58" i="3"/>
  <c r="L57" i="3"/>
  <c r="I57" i="3"/>
  <c r="L56" i="3"/>
  <c r="I56" i="3"/>
  <c r="O55" i="3"/>
  <c r="L55" i="3"/>
  <c r="I55" i="3"/>
  <c r="F53" i="3"/>
  <c r="F52" i="3"/>
  <c r="S45" i="3"/>
  <c r="F44" i="3"/>
  <c r="F40" i="3"/>
  <c r="O38" i="3"/>
  <c r="L38" i="3"/>
  <c r="I38" i="3"/>
  <c r="O37" i="3"/>
  <c r="L37" i="3"/>
  <c r="I37" i="3"/>
  <c r="O36" i="3"/>
  <c r="L36" i="3"/>
  <c r="I36" i="3"/>
  <c r="S35" i="3"/>
  <c r="O35" i="3"/>
  <c r="L35" i="3"/>
  <c r="M115" i="3"/>
  <c r="J115" i="3"/>
  <c r="L115" i="3" s="1"/>
  <c r="G115" i="3"/>
  <c r="M114" i="3"/>
  <c r="J114" i="3"/>
  <c r="G114" i="3"/>
  <c r="M113" i="3"/>
  <c r="G113" i="3"/>
  <c r="M112" i="3"/>
  <c r="J112" i="3"/>
  <c r="G112" i="3"/>
  <c r="M111" i="3"/>
  <c r="J111" i="3"/>
  <c r="L111" i="3" s="1"/>
  <c r="G111" i="3"/>
  <c r="M110" i="3"/>
  <c r="G110" i="3"/>
  <c r="M109" i="3"/>
  <c r="G109" i="3"/>
  <c r="M108" i="3"/>
  <c r="G108" i="3"/>
  <c r="J107" i="3"/>
  <c r="H107" i="3"/>
  <c r="G107" i="3"/>
  <c r="K106" i="3"/>
  <c r="J106" i="3"/>
  <c r="G106" i="3"/>
  <c r="O14" i="3"/>
  <c r="L14" i="3"/>
  <c r="I14" i="3"/>
  <c r="E14" i="3"/>
  <c r="D14" i="3"/>
  <c r="E13" i="3"/>
  <c r="D13" i="3"/>
  <c r="E12" i="3"/>
  <c r="D12" i="3"/>
  <c r="E11" i="3"/>
  <c r="D11" i="3"/>
  <c r="E10" i="3"/>
  <c r="D10" i="3"/>
  <c r="E9" i="3"/>
  <c r="D9" i="3"/>
  <c r="O8" i="3"/>
  <c r="L8" i="3"/>
  <c r="I8" i="3"/>
  <c r="E8" i="3"/>
  <c r="D8" i="3"/>
  <c r="O7" i="3"/>
  <c r="L7" i="3"/>
  <c r="I7" i="3"/>
  <c r="E7" i="3"/>
  <c r="D7" i="3"/>
  <c r="O6" i="3"/>
  <c r="L6" i="3"/>
  <c r="I6" i="3"/>
  <c r="E6" i="3"/>
  <c r="D6" i="3"/>
  <c r="O5" i="3"/>
  <c r="L5" i="3"/>
  <c r="I5" i="3"/>
  <c r="E5" i="3"/>
  <c r="D5" i="3"/>
  <c r="M3" i="3"/>
  <c r="J3" i="3"/>
  <c r="G3" i="3"/>
  <c r="N14" i="6"/>
  <c r="K14" i="6"/>
  <c r="E13" i="6"/>
  <c r="B13" i="6"/>
  <c r="H12" i="6"/>
  <c r="E12" i="6"/>
  <c r="B12" i="6"/>
  <c r="H11" i="6"/>
  <c r="E11" i="6"/>
  <c r="H10" i="6"/>
  <c r="E10" i="6"/>
  <c r="B10" i="6"/>
  <c r="E9" i="6"/>
  <c r="B9" i="6"/>
  <c r="H8" i="6"/>
  <c r="E8" i="6"/>
  <c r="B8" i="6"/>
  <c r="H7" i="6"/>
  <c r="E7" i="6"/>
  <c r="H6" i="6"/>
  <c r="E6" i="6"/>
  <c r="B6" i="6"/>
  <c r="W5" i="6"/>
  <c r="E5" i="6"/>
  <c r="B5" i="6"/>
  <c r="W4" i="6"/>
  <c r="H4" i="6"/>
  <c r="E4" i="6"/>
  <c r="B4" i="6"/>
  <c r="H14" i="4"/>
  <c r="F14" i="4"/>
  <c r="E14" i="4"/>
  <c r="G13" i="4"/>
  <c r="G12" i="4"/>
  <c r="G11" i="4"/>
  <c r="G10" i="4"/>
  <c r="G9" i="4"/>
  <c r="G8" i="4"/>
  <c r="G7" i="4"/>
  <c r="G6" i="4"/>
  <c r="G5" i="4"/>
  <c r="G4" i="4"/>
  <c r="N14" i="20"/>
  <c r="F14" i="20"/>
  <c r="E14" i="20"/>
  <c r="D14" i="20"/>
  <c r="P2" i="20"/>
  <c r="O2" i="20"/>
  <c r="N2" i="20"/>
  <c r="F60" i="3" l="1"/>
  <c r="F64" i="3"/>
  <c r="F56" i="3"/>
  <c r="M10" i="11"/>
  <c r="M39" i="11" s="1"/>
  <c r="F40" i="10"/>
  <c r="E40" i="10" s="1"/>
  <c r="I13" i="11" s="1"/>
  <c r="I42" i="11" s="1"/>
  <c r="F41" i="10"/>
  <c r="F44" i="10"/>
  <c r="E44" i="10" s="1"/>
  <c r="M13" i="11" s="1"/>
  <c r="M42" i="11" s="1"/>
  <c r="F42" i="10"/>
  <c r="E42" i="10" s="1"/>
  <c r="K13" i="11" s="1"/>
  <c r="F43" i="10"/>
  <c r="E43" i="10" s="1"/>
  <c r="L13" i="11" s="1"/>
  <c r="L42" i="11" s="1"/>
  <c r="I35" i="3"/>
  <c r="F35" i="3" s="1"/>
  <c r="H86" i="3"/>
  <c r="E14" i="6"/>
  <c r="F55" i="3"/>
  <c r="F59" i="3"/>
  <c r="F63" i="3"/>
  <c r="H7" i="11"/>
  <c r="BQ59" i="19"/>
  <c r="E13" i="20"/>
  <c r="D13" i="20"/>
  <c r="F13" i="20"/>
  <c r="G13" i="20" s="1"/>
  <c r="H14" i="11"/>
  <c r="O8" i="6" s="1"/>
  <c r="P8" i="6" s="1"/>
  <c r="AG12" i="26"/>
  <c r="AI10" i="26"/>
  <c r="E46" i="3"/>
  <c r="F58" i="3"/>
  <c r="F62" i="3"/>
  <c r="E28" i="11"/>
  <c r="I28" i="11"/>
  <c r="M28" i="11"/>
  <c r="K7" i="11"/>
  <c r="K36" i="11" s="1"/>
  <c r="E7" i="11"/>
  <c r="E36" i="11" s="1"/>
  <c r="I7" i="11"/>
  <c r="I36" i="11" s="1"/>
  <c r="M7" i="11"/>
  <c r="M36" i="11" s="1"/>
  <c r="E14" i="11"/>
  <c r="E43" i="11" s="1"/>
  <c r="M14" i="11"/>
  <c r="M43" i="11" s="1"/>
  <c r="H11" i="11"/>
  <c r="H40" i="11" s="1"/>
  <c r="L11" i="11"/>
  <c r="D13" i="11"/>
  <c r="D42" i="11" s="1"/>
  <c r="F62" i="9"/>
  <c r="J62" i="9"/>
  <c r="G62" i="9"/>
  <c r="K62" i="9"/>
  <c r="I62" i="9"/>
  <c r="H62" i="9"/>
  <c r="L62" i="9"/>
  <c r="E4" i="10"/>
  <c r="D12" i="11" s="1"/>
  <c r="D41" i="11" s="1"/>
  <c r="C41" i="11" s="1"/>
  <c r="E41" i="10"/>
  <c r="J13" i="11" s="1"/>
  <c r="J42" i="11" s="1"/>
  <c r="F39" i="10"/>
  <c r="E39" i="10" s="1"/>
  <c r="H13" i="11" s="1"/>
  <c r="D8" i="20"/>
  <c r="G8" i="20" s="1"/>
  <c r="F37" i="10"/>
  <c r="E37" i="10" s="1"/>
  <c r="F13" i="11" s="1"/>
  <c r="F42" i="11" s="1"/>
  <c r="F38" i="10"/>
  <c r="E38" i="10" s="1"/>
  <c r="G13" i="11" s="1"/>
  <c r="G42" i="11" s="1"/>
  <c r="F36" i="10"/>
  <c r="AH12" i="26"/>
  <c r="E36" i="3"/>
  <c r="B14" i="6"/>
  <c r="H5" i="6"/>
  <c r="H14" i="6" s="1"/>
  <c r="G14" i="4"/>
  <c r="Q18" i="20" s="1"/>
  <c r="F57" i="3"/>
  <c r="F61" i="3"/>
  <c r="O90" i="3"/>
  <c r="D132" i="3"/>
  <c r="K10" i="4" s="1"/>
  <c r="C27" i="11"/>
  <c r="K9" i="11"/>
  <c r="K38" i="11" s="1"/>
  <c r="BQ60" i="19"/>
  <c r="E12" i="28"/>
  <c r="AI8" i="26"/>
  <c r="E47" i="3"/>
  <c r="L3" i="28"/>
  <c r="K3" i="28"/>
  <c r="E5" i="28" s="1"/>
  <c r="L5" i="28"/>
  <c r="L7" i="28"/>
  <c r="P76" i="3"/>
  <c r="D76" i="3" s="1"/>
  <c r="N4" i="4" s="1"/>
  <c r="T4" i="4" s="1"/>
  <c r="P80" i="3"/>
  <c r="D80" i="3" s="1"/>
  <c r="N8" i="4" s="1"/>
  <c r="P84" i="3"/>
  <c r="P77" i="3"/>
  <c r="D77" i="3" s="1"/>
  <c r="N5" i="4" s="1"/>
  <c r="P81" i="3"/>
  <c r="D81" i="3" s="1"/>
  <c r="N9" i="4" s="1"/>
  <c r="P85" i="3"/>
  <c r="D85" i="3" s="1"/>
  <c r="N13" i="4" s="1"/>
  <c r="P83" i="3"/>
  <c r="D83" i="3" s="1"/>
  <c r="N11" i="4" s="1"/>
  <c r="P78" i="3"/>
  <c r="D78" i="3" s="1"/>
  <c r="N6" i="4" s="1"/>
  <c r="P82" i="3"/>
  <c r="D82" i="3" s="1"/>
  <c r="N10" i="4" s="1"/>
  <c r="T10" i="4" s="1"/>
  <c r="P79" i="3"/>
  <c r="D79" i="3" s="1"/>
  <c r="N7" i="4" s="1"/>
  <c r="BS40" i="19"/>
  <c r="J26" i="9" s="1"/>
  <c r="J25" i="9" s="1"/>
  <c r="BS56" i="19"/>
  <c r="L26" i="9" s="1"/>
  <c r="BS17" i="19"/>
  <c r="BS25" i="19"/>
  <c r="H26" i="9" s="1"/>
  <c r="BS33" i="19"/>
  <c r="BS47" i="19"/>
  <c r="K26" i="9" s="1"/>
  <c r="K25" i="9" s="1"/>
  <c r="G26" i="9"/>
  <c r="F60" i="9"/>
  <c r="F61" i="9"/>
  <c r="I61" i="9"/>
  <c r="L61" i="9"/>
  <c r="F59" i="9"/>
  <c r="J60" i="9"/>
  <c r="J59" i="9"/>
  <c r="G61" i="9"/>
  <c r="L59" i="9"/>
  <c r="I60" i="9"/>
  <c r="L60" i="9"/>
  <c r="H61" i="9"/>
  <c r="I59" i="9"/>
  <c r="J61" i="9"/>
  <c r="G60" i="9"/>
  <c r="H59" i="9"/>
  <c r="K59" i="9"/>
  <c r="H60" i="9"/>
  <c r="K60" i="9"/>
  <c r="K61" i="9"/>
  <c r="G59" i="9"/>
  <c r="F3" i="10"/>
  <c r="E3" i="10"/>
  <c r="J5" i="9"/>
  <c r="J4" i="9" s="1"/>
  <c r="G5" i="9"/>
  <c r="I5" i="9"/>
  <c r="I4" i="9" s="1"/>
  <c r="F5" i="9"/>
  <c r="F4" i="9" s="1"/>
  <c r="L5" i="9"/>
  <c r="L4" i="9" s="1"/>
  <c r="H5" i="9"/>
  <c r="K5" i="9"/>
  <c r="K4" i="9" s="1"/>
  <c r="E111" i="9"/>
  <c r="F26" i="9"/>
  <c r="I26" i="9"/>
  <c r="I25" i="9" s="1"/>
  <c r="E150" i="9"/>
  <c r="F7" i="11"/>
  <c r="F36" i="11" s="1"/>
  <c r="J7" i="11"/>
  <c r="J36" i="11" s="1"/>
  <c r="I9" i="11"/>
  <c r="I38" i="11" s="1"/>
  <c r="M9" i="11"/>
  <c r="M38" i="11" s="1"/>
  <c r="M8" i="11"/>
  <c r="M37" i="11" s="1"/>
  <c r="G14" i="11"/>
  <c r="G43" i="11" s="1"/>
  <c r="K14" i="11"/>
  <c r="F11" i="11"/>
  <c r="L6" i="6" s="1"/>
  <c r="M6" i="6" s="1"/>
  <c r="J11" i="11"/>
  <c r="L14" i="11"/>
  <c r="L43" i="11" s="1"/>
  <c r="L40" i="11"/>
  <c r="L12" i="6"/>
  <c r="M12" i="6" s="1"/>
  <c r="F43" i="11"/>
  <c r="O6" i="6"/>
  <c r="P6" i="6" s="1"/>
  <c r="E40" i="11"/>
  <c r="L5" i="6"/>
  <c r="M5" i="6" s="1"/>
  <c r="I40" i="11"/>
  <c r="L9" i="6"/>
  <c r="M9" i="6" s="1"/>
  <c r="M40" i="11"/>
  <c r="L13" i="6"/>
  <c r="M13" i="6" s="1"/>
  <c r="K43" i="11"/>
  <c r="O11" i="6"/>
  <c r="P11" i="6" s="1"/>
  <c r="F40" i="11"/>
  <c r="J40" i="11"/>
  <c r="L10" i="6"/>
  <c r="M10" i="6" s="1"/>
  <c r="H43" i="11"/>
  <c r="D11" i="11"/>
  <c r="D40" i="11" s="1"/>
  <c r="D10" i="11"/>
  <c r="D39" i="11" s="1"/>
  <c r="O5" i="6"/>
  <c r="P5" i="6" s="1"/>
  <c r="D8" i="11"/>
  <c r="D37" i="11" s="1"/>
  <c r="E129" i="9"/>
  <c r="D14" i="11"/>
  <c r="C14" i="11" s="1"/>
  <c r="O13" i="6"/>
  <c r="P13" i="6" s="1"/>
  <c r="O9" i="6"/>
  <c r="P9" i="6" s="1"/>
  <c r="L11" i="6"/>
  <c r="M11" i="6" s="1"/>
  <c r="Q14" i="20"/>
  <c r="L7" i="6"/>
  <c r="M7" i="6" s="1"/>
  <c r="L4" i="6"/>
  <c r="M4" i="6" s="1"/>
  <c r="O10" i="6"/>
  <c r="P10" i="6" s="1"/>
  <c r="F36" i="3"/>
  <c r="F38" i="3"/>
  <c r="F37" i="3"/>
  <c r="F48" i="3"/>
  <c r="F47" i="3"/>
  <c r="F46" i="3"/>
  <c r="F51" i="3"/>
  <c r="F50" i="3"/>
  <c r="F54" i="3"/>
  <c r="F49" i="3"/>
  <c r="F43" i="3"/>
  <c r="F42" i="3"/>
  <c r="F41" i="3"/>
  <c r="F39" i="3"/>
  <c r="F45" i="3"/>
  <c r="G14" i="20"/>
  <c r="BR61" i="19"/>
  <c r="E9" i="11"/>
  <c r="E38" i="11" s="1"/>
  <c r="L92" i="3"/>
  <c r="L118" i="3"/>
  <c r="O117" i="3"/>
  <c r="I89" i="3"/>
  <c r="D126" i="3"/>
  <c r="K4" i="4" s="1"/>
  <c r="D134" i="3"/>
  <c r="K12" i="4" s="1"/>
  <c r="O92" i="3"/>
  <c r="D72" i="3"/>
  <c r="D87" i="3"/>
  <c r="O111" i="3"/>
  <c r="F7" i="3"/>
  <c r="F11" i="3"/>
  <c r="L123" i="3"/>
  <c r="D94" i="3"/>
  <c r="D88" i="3"/>
  <c r="L90" i="3"/>
  <c r="E116" i="3"/>
  <c r="C4" i="4" s="1"/>
  <c r="R4" i="4" s="1"/>
  <c r="O116" i="3"/>
  <c r="O118" i="3"/>
  <c r="E120" i="3"/>
  <c r="C8" i="4" s="1"/>
  <c r="R8" i="4" s="1"/>
  <c r="O122" i="3"/>
  <c r="D119" i="3"/>
  <c r="B7" i="4" s="1"/>
  <c r="Q7" i="4" s="1"/>
  <c r="D121" i="3"/>
  <c r="B9" i="4" s="1"/>
  <c r="Q9" i="4" s="1"/>
  <c r="D123" i="3"/>
  <c r="B11" i="4" s="1"/>
  <c r="Q11" i="4" s="1"/>
  <c r="O114" i="3"/>
  <c r="O110" i="3"/>
  <c r="E112" i="3"/>
  <c r="R10" i="6" s="1"/>
  <c r="I91" i="3"/>
  <c r="I120" i="3"/>
  <c r="I117" i="3"/>
  <c r="D120" i="3"/>
  <c r="B8" i="4" s="1"/>
  <c r="Q8" i="4" s="1"/>
  <c r="I90" i="3"/>
  <c r="I95" i="3"/>
  <c r="K107" i="3"/>
  <c r="L107" i="3" s="1"/>
  <c r="E89" i="3"/>
  <c r="D90" i="3"/>
  <c r="D93" i="3"/>
  <c r="L119" i="3"/>
  <c r="O123" i="3"/>
  <c r="N135" i="3"/>
  <c r="O135" i="3" s="1"/>
  <c r="Q127" i="3"/>
  <c r="R127" i="3" s="1"/>
  <c r="Q131" i="3"/>
  <c r="R131" i="3" s="1"/>
  <c r="Q135" i="3"/>
  <c r="R135" i="3" s="1"/>
  <c r="Q126" i="3"/>
  <c r="R126" i="3" s="1"/>
  <c r="Q130" i="3"/>
  <c r="R130" i="3" s="1"/>
  <c r="Q134" i="3"/>
  <c r="R134" i="3" s="1"/>
  <c r="Q133" i="3"/>
  <c r="R133" i="3" s="1"/>
  <c r="Q132" i="3"/>
  <c r="R132" i="3" s="1"/>
  <c r="Q129" i="3"/>
  <c r="R129" i="3" s="1"/>
  <c r="Q128" i="3"/>
  <c r="R128" i="3" s="1"/>
  <c r="D128" i="3"/>
  <c r="K6" i="4" s="1"/>
  <c r="F13" i="3"/>
  <c r="K75" i="3"/>
  <c r="L75" i="3" s="1"/>
  <c r="K105" i="3" s="1"/>
  <c r="L105" i="3" s="1"/>
  <c r="Q69" i="3"/>
  <c r="Q73" i="3"/>
  <c r="Q66" i="3"/>
  <c r="Q70" i="3"/>
  <c r="Q74" i="3"/>
  <c r="Q68" i="3"/>
  <c r="Q72" i="3"/>
  <c r="Q67" i="3"/>
  <c r="Q71" i="3"/>
  <c r="Q75" i="3"/>
  <c r="D68" i="3"/>
  <c r="L88" i="3"/>
  <c r="D92" i="3"/>
  <c r="E93" i="3"/>
  <c r="O95" i="3"/>
  <c r="L114" i="3"/>
  <c r="D133" i="3"/>
  <c r="K11" i="4" s="1"/>
  <c r="D135" i="3"/>
  <c r="K13" i="4" s="1"/>
  <c r="F6" i="3"/>
  <c r="D115" i="3"/>
  <c r="Q13" i="6" s="1"/>
  <c r="T13" i="6" s="1"/>
  <c r="D67" i="3"/>
  <c r="D84" i="3"/>
  <c r="N12" i="4" s="1"/>
  <c r="O87" i="3"/>
  <c r="E108" i="3"/>
  <c r="R6" i="6" s="1"/>
  <c r="I116" i="3"/>
  <c r="I124" i="3"/>
  <c r="I115" i="3"/>
  <c r="F10" i="3"/>
  <c r="D69" i="3"/>
  <c r="D71" i="3"/>
  <c r="L86" i="3"/>
  <c r="I87" i="3"/>
  <c r="D89" i="3"/>
  <c r="O91" i="3"/>
  <c r="I92" i="3"/>
  <c r="I94" i="3"/>
  <c r="O94" i="3"/>
  <c r="L120" i="3"/>
  <c r="I121" i="3"/>
  <c r="O121" i="3"/>
  <c r="L122" i="3"/>
  <c r="D124" i="3"/>
  <c r="B12" i="4" s="1"/>
  <c r="Q12" i="4" s="1"/>
  <c r="L124" i="3"/>
  <c r="I125" i="3"/>
  <c r="O125" i="3"/>
  <c r="D130" i="3"/>
  <c r="K8" i="4" s="1"/>
  <c r="F5" i="3"/>
  <c r="F8" i="3"/>
  <c r="D66" i="3"/>
  <c r="D73" i="3"/>
  <c r="D75" i="3"/>
  <c r="D86" i="3"/>
  <c r="I93" i="3"/>
  <c r="D95" i="3"/>
  <c r="E117" i="3"/>
  <c r="C5" i="4" s="1"/>
  <c r="R5" i="4" s="1"/>
  <c r="D122" i="3"/>
  <c r="B10" i="4" s="1"/>
  <c r="Q10" i="4" s="1"/>
  <c r="D127" i="3"/>
  <c r="K5" i="4" s="1"/>
  <c r="F9" i="3"/>
  <c r="F12" i="3"/>
  <c r="L112" i="3"/>
  <c r="D70" i="3"/>
  <c r="D74" i="3"/>
  <c r="I86" i="3"/>
  <c r="O86" i="3"/>
  <c r="O88" i="3"/>
  <c r="D91" i="3"/>
  <c r="L94" i="3"/>
  <c r="L95" i="3"/>
  <c r="L116" i="3"/>
  <c r="D117" i="3"/>
  <c r="B5" i="4" s="1"/>
  <c r="Q5" i="4" s="1"/>
  <c r="O119" i="3"/>
  <c r="O120" i="3"/>
  <c r="D129" i="3"/>
  <c r="K7" i="4" s="1"/>
  <c r="D131" i="3"/>
  <c r="K9" i="4" s="1"/>
  <c r="G15" i="4"/>
  <c r="G18" i="20" s="1"/>
  <c r="J108" i="3"/>
  <c r="L108" i="3" s="1"/>
  <c r="I109" i="3"/>
  <c r="I113" i="3"/>
  <c r="O112" i="3"/>
  <c r="O113" i="3"/>
  <c r="M106" i="3"/>
  <c r="D106" i="3" s="1"/>
  <c r="Q4" i="6" s="1"/>
  <c r="I110" i="3"/>
  <c r="I111" i="3"/>
  <c r="I107" i="3"/>
  <c r="I108" i="3"/>
  <c r="I112" i="3"/>
  <c r="F14" i="3"/>
  <c r="L106" i="3"/>
  <c r="M107" i="3"/>
  <c r="D107" i="3" s="1"/>
  <c r="Q5" i="6" s="1"/>
  <c r="O108" i="3"/>
  <c r="O109" i="3"/>
  <c r="E109" i="3"/>
  <c r="J110" i="3"/>
  <c r="L110" i="3" s="1"/>
  <c r="D112" i="3"/>
  <c r="E113" i="3"/>
  <c r="I114" i="3"/>
  <c r="E114" i="3"/>
  <c r="E115" i="3"/>
  <c r="I123" i="3"/>
  <c r="F123" i="3" s="1"/>
  <c r="E123" i="3"/>
  <c r="C11" i="4" s="1"/>
  <c r="E124" i="3"/>
  <c r="C12" i="4" s="1"/>
  <c r="D4" i="14"/>
  <c r="D8" i="14"/>
  <c r="D12" i="14"/>
  <c r="L87" i="3"/>
  <c r="E88" i="3"/>
  <c r="I88" i="3"/>
  <c r="L91" i="3"/>
  <c r="E92" i="3"/>
  <c r="J109" i="3"/>
  <c r="D109" i="3" s="1"/>
  <c r="Q7" i="6" s="1"/>
  <c r="T7" i="6" s="1"/>
  <c r="J113" i="3"/>
  <c r="L113" i="3" s="1"/>
  <c r="D114" i="3"/>
  <c r="Q12" i="6" s="1"/>
  <c r="T12" i="6" s="1"/>
  <c r="I119" i="3"/>
  <c r="E119" i="3"/>
  <c r="C7" i="4" s="1"/>
  <c r="D39" i="14"/>
  <c r="D43" i="14"/>
  <c r="D47" i="14"/>
  <c r="E87" i="3"/>
  <c r="O89" i="3"/>
  <c r="E91" i="3"/>
  <c r="O93" i="3"/>
  <c r="E95" i="3"/>
  <c r="E111" i="3"/>
  <c r="O115" i="3"/>
  <c r="I122" i="3"/>
  <c r="L125" i="3"/>
  <c r="D10" i="14"/>
  <c r="E86" i="3"/>
  <c r="L89" i="3"/>
  <c r="E90" i="3"/>
  <c r="L93" i="3"/>
  <c r="E94" i="3"/>
  <c r="E110" i="3"/>
  <c r="I118" i="3"/>
  <c r="E121" i="3"/>
  <c r="C9" i="4" s="1"/>
  <c r="O124" i="3"/>
  <c r="D125" i="3"/>
  <c r="B13" i="4" s="1"/>
  <c r="Q13" i="4" s="1"/>
  <c r="BQ61" i="19"/>
  <c r="D41" i="14"/>
  <c r="D45" i="14"/>
  <c r="L117" i="3"/>
  <c r="E118" i="3"/>
  <c r="C6" i="4" s="1"/>
  <c r="L121" i="3"/>
  <c r="E122" i="3"/>
  <c r="C10" i="4" s="1"/>
  <c r="L36" i="11"/>
  <c r="AI6" i="26"/>
  <c r="D7" i="14"/>
  <c r="D80" i="14"/>
  <c r="D109" i="14"/>
  <c r="D117" i="14"/>
  <c r="D116" i="3"/>
  <c r="B4" i="4" s="1"/>
  <c r="E125" i="3"/>
  <c r="C13" i="4" s="1"/>
  <c r="C12" i="11"/>
  <c r="C23" i="11"/>
  <c r="H36" i="11"/>
  <c r="D5" i="14"/>
  <c r="D13" i="14"/>
  <c r="D78" i="14"/>
  <c r="D115" i="14"/>
  <c r="D11" i="14"/>
  <c r="D76" i="14"/>
  <c r="D113" i="14"/>
  <c r="D9" i="14"/>
  <c r="D74" i="14"/>
  <c r="D82" i="14"/>
  <c r="D111" i="14"/>
  <c r="K66" i="3"/>
  <c r="K76" i="3" s="1"/>
  <c r="L76" i="3" s="1"/>
  <c r="H128" i="3"/>
  <c r="K131" i="3"/>
  <c r="N134" i="3"/>
  <c r="H126" i="3"/>
  <c r="H127" i="3"/>
  <c r="N129" i="3"/>
  <c r="K130" i="3"/>
  <c r="H131" i="3"/>
  <c r="N133" i="3"/>
  <c r="K134" i="3"/>
  <c r="H135" i="3"/>
  <c r="K135" i="3"/>
  <c r="N128" i="3"/>
  <c r="K129" i="3"/>
  <c r="H130" i="3"/>
  <c r="N132" i="3"/>
  <c r="K133" i="3"/>
  <c r="H134" i="3"/>
  <c r="K126" i="3"/>
  <c r="K127" i="3"/>
  <c r="N130" i="3"/>
  <c r="H132" i="3"/>
  <c r="N126" i="3"/>
  <c r="N127" i="3"/>
  <c r="K128" i="3"/>
  <c r="H129" i="3"/>
  <c r="N131" i="3"/>
  <c r="K132" i="3"/>
  <c r="H133" i="3"/>
  <c r="N66" i="3"/>
  <c r="O66" i="3" s="1"/>
  <c r="N96" i="3" s="1"/>
  <c r="O96" i="3" s="1"/>
  <c r="I13" i="6"/>
  <c r="J13" i="6" s="1"/>
  <c r="H66" i="3"/>
  <c r="H67" i="3"/>
  <c r="N69" i="3"/>
  <c r="K70" i="3"/>
  <c r="H71" i="3"/>
  <c r="N73" i="3"/>
  <c r="K74" i="3"/>
  <c r="H75" i="3"/>
  <c r="N68" i="3"/>
  <c r="K69" i="3"/>
  <c r="H70" i="3"/>
  <c r="N72" i="3"/>
  <c r="K73" i="3"/>
  <c r="H74" i="3"/>
  <c r="N67" i="3"/>
  <c r="K68" i="3"/>
  <c r="H69" i="3"/>
  <c r="N71" i="3"/>
  <c r="K72" i="3"/>
  <c r="H73" i="3"/>
  <c r="N75" i="3"/>
  <c r="K67" i="3"/>
  <c r="H68" i="3"/>
  <c r="N70" i="3"/>
  <c r="K71" i="3"/>
  <c r="H72" i="3"/>
  <c r="N74" i="3"/>
  <c r="T6" i="4" l="1"/>
  <c r="T7" i="4"/>
  <c r="C13" i="6"/>
  <c r="D13" i="6" s="1"/>
  <c r="M44" i="11"/>
  <c r="K9" i="28"/>
  <c r="C9" i="6"/>
  <c r="D9" i="6" s="1"/>
  <c r="E66" i="9"/>
  <c r="L8" i="11" s="1"/>
  <c r="L37" i="11" s="1"/>
  <c r="E64" i="9"/>
  <c r="J8" i="11" s="1"/>
  <c r="J37" i="11" s="1"/>
  <c r="H42" i="11"/>
  <c r="C8" i="6"/>
  <c r="D8" i="6" s="1"/>
  <c r="K42" i="11"/>
  <c r="C11" i="6"/>
  <c r="D11" i="6" s="1"/>
  <c r="E63" i="9"/>
  <c r="I8" i="11" s="1"/>
  <c r="E65" i="9"/>
  <c r="K8" i="11" s="1"/>
  <c r="T5" i="6"/>
  <c r="C40" i="11"/>
  <c r="N8" i="20"/>
  <c r="P8" i="20"/>
  <c r="O8" i="20"/>
  <c r="F12" i="6"/>
  <c r="G12" i="6" s="1"/>
  <c r="C28" i="11"/>
  <c r="AI12" i="26"/>
  <c r="T12" i="4"/>
  <c r="E12" i="2" s="1"/>
  <c r="O7" i="6"/>
  <c r="P7" i="6" s="1"/>
  <c r="D12" i="20"/>
  <c r="F12" i="20"/>
  <c r="E12" i="20"/>
  <c r="E62" i="9"/>
  <c r="H8" i="11" s="1"/>
  <c r="T13" i="4"/>
  <c r="E13" i="2" s="1"/>
  <c r="C12" i="6"/>
  <c r="D12" i="6" s="1"/>
  <c r="C4" i="6"/>
  <c r="D4" i="6" s="1"/>
  <c r="L8" i="6"/>
  <c r="M8" i="6" s="1"/>
  <c r="P13" i="20"/>
  <c r="O13" i="20"/>
  <c r="N13" i="20"/>
  <c r="C10" i="6"/>
  <c r="D10" i="6" s="1"/>
  <c r="T11" i="4"/>
  <c r="C6" i="6"/>
  <c r="D6" i="6" s="1"/>
  <c r="C7" i="6"/>
  <c r="D7" i="6" s="1"/>
  <c r="J57" i="9"/>
  <c r="E61" i="9"/>
  <c r="G8" i="11" s="1"/>
  <c r="G37" i="11" s="1"/>
  <c r="F34" i="10"/>
  <c r="E36" i="10"/>
  <c r="H57" i="9"/>
  <c r="G57" i="9"/>
  <c r="K57" i="9"/>
  <c r="I57" i="9"/>
  <c r="L57" i="9"/>
  <c r="E59" i="9"/>
  <c r="F57" i="9"/>
  <c r="E60" i="9"/>
  <c r="F8" i="11" s="1"/>
  <c r="I3" i="9"/>
  <c r="K3" i="9"/>
  <c r="H4" i="9"/>
  <c r="J3" i="9"/>
  <c r="G4" i="9"/>
  <c r="E5" i="9"/>
  <c r="E112" i="9"/>
  <c r="F25" i="9"/>
  <c r="H25" i="9"/>
  <c r="E26" i="9"/>
  <c r="G25" i="9"/>
  <c r="L25" i="9"/>
  <c r="L3" i="9" s="1"/>
  <c r="M15" i="11"/>
  <c r="O12" i="6"/>
  <c r="P12" i="6" s="1"/>
  <c r="F13" i="6"/>
  <c r="G13" i="6" s="1"/>
  <c r="D43" i="11"/>
  <c r="C43" i="11" s="1"/>
  <c r="O4" i="6"/>
  <c r="P4" i="6" s="1"/>
  <c r="P14" i="6" s="1"/>
  <c r="C11" i="11"/>
  <c r="F92" i="3"/>
  <c r="F89" i="3"/>
  <c r="T8" i="4"/>
  <c r="K14" i="4"/>
  <c r="D4" i="4"/>
  <c r="F86" i="3"/>
  <c r="D103" i="14"/>
  <c r="F122" i="3"/>
  <c r="T9" i="4"/>
  <c r="F90" i="3"/>
  <c r="S8" i="4"/>
  <c r="F121" i="3"/>
  <c r="F119" i="3"/>
  <c r="K85" i="3"/>
  <c r="L85" i="3" s="1"/>
  <c r="F125" i="3"/>
  <c r="F120" i="3"/>
  <c r="F116" i="3"/>
  <c r="N14" i="4"/>
  <c r="F95" i="3"/>
  <c r="D8" i="4"/>
  <c r="B13" i="2"/>
  <c r="Q82" i="3"/>
  <c r="R82" i="3" s="1"/>
  <c r="R72" i="3"/>
  <c r="Q102" i="3" s="1"/>
  <c r="R102" i="3" s="1"/>
  <c r="C14" i="4"/>
  <c r="F94" i="3"/>
  <c r="Q85" i="3"/>
  <c r="R85" i="3" s="1"/>
  <c r="R75" i="3"/>
  <c r="Q105" i="3" s="1"/>
  <c r="R105" i="3" s="1"/>
  <c r="Q78" i="3"/>
  <c r="R78" i="3" s="1"/>
  <c r="R68" i="3"/>
  <c r="Q98" i="3" s="1"/>
  <c r="R98" i="3" s="1"/>
  <c r="R73" i="3"/>
  <c r="Q103" i="3" s="1"/>
  <c r="R103" i="3" s="1"/>
  <c r="Q83" i="3"/>
  <c r="R83" i="3" s="1"/>
  <c r="R66" i="3"/>
  <c r="Q96" i="3" s="1"/>
  <c r="R96" i="3" s="1"/>
  <c r="Q76" i="3"/>
  <c r="R76" i="3" s="1"/>
  <c r="Q81" i="3"/>
  <c r="R81" i="3" s="1"/>
  <c r="R71" i="3"/>
  <c r="Q101" i="3" s="1"/>
  <c r="R101" i="3" s="1"/>
  <c r="R74" i="3"/>
  <c r="Q104" i="3" s="1"/>
  <c r="R104" i="3" s="1"/>
  <c r="Q84" i="3"/>
  <c r="R84" i="3" s="1"/>
  <c r="R69" i="3"/>
  <c r="Q99" i="3" s="1"/>
  <c r="R99" i="3" s="1"/>
  <c r="Q79" i="3"/>
  <c r="R79" i="3" s="1"/>
  <c r="D5" i="4"/>
  <c r="D113" i="3"/>
  <c r="Q11" i="6" s="1"/>
  <c r="T11" i="6" s="1"/>
  <c r="B11" i="2" s="1"/>
  <c r="F124" i="3"/>
  <c r="Q77" i="3"/>
  <c r="R77" i="3" s="1"/>
  <c r="R67" i="3"/>
  <c r="Q97" i="3" s="1"/>
  <c r="R97" i="3" s="1"/>
  <c r="R70" i="3"/>
  <c r="Q100" i="3" s="1"/>
  <c r="R100" i="3" s="1"/>
  <c r="Q80" i="3"/>
  <c r="R80" i="3" s="1"/>
  <c r="F93" i="3"/>
  <c r="T5" i="4"/>
  <c r="F91" i="3"/>
  <c r="O22" i="20"/>
  <c r="S5" i="4"/>
  <c r="H106" i="3"/>
  <c r="I106" i="3" s="1"/>
  <c r="N4" i="20" s="1"/>
  <c r="P22" i="20"/>
  <c r="D110" i="3"/>
  <c r="Q8" i="6" s="1"/>
  <c r="T8" i="6" s="1"/>
  <c r="B8" i="2" s="1"/>
  <c r="B7" i="2"/>
  <c r="E7" i="2"/>
  <c r="Q10" i="6"/>
  <c r="F112" i="3"/>
  <c r="B12" i="2"/>
  <c r="B5" i="2"/>
  <c r="R10" i="4"/>
  <c r="S10" i="4" s="1"/>
  <c r="D10" i="4"/>
  <c r="R9" i="4"/>
  <c r="S9" i="4" s="1"/>
  <c r="D9" i="4"/>
  <c r="R12" i="4"/>
  <c r="S12" i="4" s="1"/>
  <c r="D12" i="4"/>
  <c r="F115" i="3"/>
  <c r="R13" i="6"/>
  <c r="S13" i="6" s="1"/>
  <c r="D108" i="3"/>
  <c r="M15" i="6"/>
  <c r="M14" i="6"/>
  <c r="F87" i="3"/>
  <c r="N106" i="3"/>
  <c r="D111" i="3"/>
  <c r="Q9" i="6" s="1"/>
  <c r="T9" i="6" s="1"/>
  <c r="R11" i="6"/>
  <c r="R13" i="4"/>
  <c r="S13" i="4" s="1"/>
  <c r="D13" i="4"/>
  <c r="F118" i="3"/>
  <c r="D17" i="20"/>
  <c r="N17" i="20"/>
  <c r="F88" i="3"/>
  <c r="N22" i="20"/>
  <c r="R11" i="4"/>
  <c r="S11" i="4" s="1"/>
  <c r="D11" i="4"/>
  <c r="F114" i="3"/>
  <c r="R12" i="6"/>
  <c r="S12" i="6" s="1"/>
  <c r="L109" i="3"/>
  <c r="E4" i="20" s="1"/>
  <c r="F117" i="3"/>
  <c r="O17" i="20"/>
  <c r="O16" i="20" s="1"/>
  <c r="E17" i="20"/>
  <c r="E16" i="20" s="1"/>
  <c r="R7" i="4"/>
  <c r="S7" i="4" s="1"/>
  <c r="D7" i="4"/>
  <c r="B14" i="4"/>
  <c r="Q4" i="4"/>
  <c r="R6" i="4"/>
  <c r="S6" i="4" s="1"/>
  <c r="D6" i="4"/>
  <c r="P17" i="20"/>
  <c r="P16" i="20" s="1"/>
  <c r="F17" i="20"/>
  <c r="F16" i="20" s="1"/>
  <c r="R8" i="6"/>
  <c r="R9" i="6"/>
  <c r="F109" i="3"/>
  <c r="R7" i="6"/>
  <c r="S7" i="6" s="1"/>
  <c r="N107" i="3"/>
  <c r="T4" i="6"/>
  <c r="L66" i="3"/>
  <c r="K96" i="3" s="1"/>
  <c r="L96" i="3" s="1"/>
  <c r="D64" i="14"/>
  <c r="L131" i="3"/>
  <c r="D65" i="14"/>
  <c r="L132" i="3"/>
  <c r="D61" i="14"/>
  <c r="L128" i="3"/>
  <c r="D30" i="14"/>
  <c r="I132" i="3"/>
  <c r="E132" i="3"/>
  <c r="L10" i="4" s="1"/>
  <c r="M10" i="4" s="1"/>
  <c r="D138" i="14"/>
  <c r="D134" i="14"/>
  <c r="D130" i="14"/>
  <c r="D33" i="14"/>
  <c r="I135" i="3"/>
  <c r="E135" i="3"/>
  <c r="L13" i="4" s="1"/>
  <c r="M13" i="4" s="1"/>
  <c r="D29" i="14"/>
  <c r="I131" i="3"/>
  <c r="E131" i="3"/>
  <c r="L9" i="4" s="1"/>
  <c r="M9" i="4" s="1"/>
  <c r="D25" i="14"/>
  <c r="I127" i="3"/>
  <c r="E127" i="3"/>
  <c r="L5" i="4" s="1"/>
  <c r="M5" i="4" s="1"/>
  <c r="D26" i="14"/>
  <c r="I128" i="3"/>
  <c r="E128" i="3"/>
  <c r="L6" i="4" s="1"/>
  <c r="M6" i="4" s="1"/>
  <c r="D31" i="14"/>
  <c r="E133" i="3"/>
  <c r="L11" i="4" s="1"/>
  <c r="M11" i="4" s="1"/>
  <c r="I133" i="3"/>
  <c r="D136" i="14"/>
  <c r="D59" i="14"/>
  <c r="L126" i="3"/>
  <c r="D96" i="14"/>
  <c r="O128" i="3"/>
  <c r="D135" i="14"/>
  <c r="O127" i="3"/>
  <c r="D95" i="14"/>
  <c r="D63" i="14"/>
  <c r="L130" i="3"/>
  <c r="D27" i="14"/>
  <c r="I129" i="3"/>
  <c r="E129" i="3"/>
  <c r="L7" i="4" s="1"/>
  <c r="M7" i="4" s="1"/>
  <c r="D100" i="14"/>
  <c r="O132" i="3"/>
  <c r="D132" i="14"/>
  <c r="D131" i="14"/>
  <c r="O131" i="3"/>
  <c r="D99" i="14"/>
  <c r="D98" i="14"/>
  <c r="O130" i="3"/>
  <c r="I134" i="3"/>
  <c r="E134" i="3"/>
  <c r="L12" i="4" s="1"/>
  <c r="M12" i="4" s="1"/>
  <c r="D32" i="14"/>
  <c r="I130" i="3"/>
  <c r="E130" i="3"/>
  <c r="L8" i="4" s="1"/>
  <c r="M8" i="4" s="1"/>
  <c r="D28" i="14"/>
  <c r="D129" i="14"/>
  <c r="D67" i="14"/>
  <c r="L134" i="3"/>
  <c r="I126" i="3"/>
  <c r="E126" i="3"/>
  <c r="L4" i="4" s="1"/>
  <c r="D24" i="14"/>
  <c r="D137" i="14"/>
  <c r="D133" i="14"/>
  <c r="D94" i="14"/>
  <c r="O126" i="3"/>
  <c r="D60" i="14"/>
  <c r="L127" i="3"/>
  <c r="L133" i="3"/>
  <c r="D66" i="14"/>
  <c r="L129" i="3"/>
  <c r="D62" i="14"/>
  <c r="D68" i="14"/>
  <c r="L135" i="3"/>
  <c r="O133" i="3"/>
  <c r="D101" i="14"/>
  <c r="O129" i="3"/>
  <c r="D97" i="14"/>
  <c r="D102" i="14"/>
  <c r="O134" i="3"/>
  <c r="N76" i="3"/>
  <c r="O76" i="3" s="1"/>
  <c r="H82" i="3"/>
  <c r="I72" i="3"/>
  <c r="E72" i="3"/>
  <c r="H78" i="3"/>
  <c r="I68" i="3"/>
  <c r="E68" i="3"/>
  <c r="I73" i="3"/>
  <c r="E73" i="3"/>
  <c r="H83" i="3"/>
  <c r="I69" i="3"/>
  <c r="E69" i="3"/>
  <c r="H79" i="3"/>
  <c r="N83" i="3"/>
  <c r="O83" i="3" s="1"/>
  <c r="O73" i="3"/>
  <c r="N103" i="3" s="1"/>
  <c r="O103" i="3" s="1"/>
  <c r="N79" i="3"/>
  <c r="O79" i="3" s="1"/>
  <c r="O69" i="3"/>
  <c r="N99" i="3" s="1"/>
  <c r="O99" i="3" s="1"/>
  <c r="H76" i="3"/>
  <c r="I66" i="3"/>
  <c r="E66" i="3"/>
  <c r="K81" i="3"/>
  <c r="L81" i="3" s="1"/>
  <c r="L71" i="3"/>
  <c r="K101" i="3" s="1"/>
  <c r="L101" i="3" s="1"/>
  <c r="K77" i="3"/>
  <c r="L77" i="3" s="1"/>
  <c r="L67" i="3"/>
  <c r="K97" i="3" s="1"/>
  <c r="L97" i="3" s="1"/>
  <c r="L72" i="3"/>
  <c r="K102" i="3" s="1"/>
  <c r="L102" i="3" s="1"/>
  <c r="K82" i="3"/>
  <c r="L82" i="3" s="1"/>
  <c r="L68" i="3"/>
  <c r="K98" i="3" s="1"/>
  <c r="L98" i="3" s="1"/>
  <c r="K78" i="3"/>
  <c r="L78" i="3" s="1"/>
  <c r="H84" i="3"/>
  <c r="I74" i="3"/>
  <c r="E74" i="3"/>
  <c r="H80" i="3"/>
  <c r="I70" i="3"/>
  <c r="E70" i="3"/>
  <c r="N84" i="3"/>
  <c r="O84" i="3" s="1"/>
  <c r="O74" i="3"/>
  <c r="N104" i="3" s="1"/>
  <c r="O104" i="3" s="1"/>
  <c r="N80" i="3"/>
  <c r="O80" i="3" s="1"/>
  <c r="O70" i="3"/>
  <c r="N100" i="3" s="1"/>
  <c r="O100" i="3" s="1"/>
  <c r="O75" i="3"/>
  <c r="N105" i="3" s="1"/>
  <c r="O105" i="3" s="1"/>
  <c r="N85" i="3"/>
  <c r="O85" i="3" s="1"/>
  <c r="O71" i="3"/>
  <c r="N101" i="3" s="1"/>
  <c r="O101" i="3" s="1"/>
  <c r="N81" i="3"/>
  <c r="O81" i="3" s="1"/>
  <c r="O67" i="3"/>
  <c r="N97" i="3" s="1"/>
  <c r="O97" i="3" s="1"/>
  <c r="N77" i="3"/>
  <c r="O77" i="3" s="1"/>
  <c r="K83" i="3"/>
  <c r="L83" i="3" s="1"/>
  <c r="L73" i="3"/>
  <c r="K103" i="3" s="1"/>
  <c r="L103" i="3" s="1"/>
  <c r="K79" i="3"/>
  <c r="L79" i="3" s="1"/>
  <c r="L69" i="3"/>
  <c r="K99" i="3" s="1"/>
  <c r="L99" i="3" s="1"/>
  <c r="H85" i="3"/>
  <c r="I75" i="3"/>
  <c r="E75" i="3"/>
  <c r="H81" i="3"/>
  <c r="I71" i="3"/>
  <c r="E71" i="3"/>
  <c r="H77" i="3"/>
  <c r="I67" i="3"/>
  <c r="E67" i="3"/>
  <c r="N82" i="3"/>
  <c r="O82" i="3" s="1"/>
  <c r="O72" i="3"/>
  <c r="N102" i="3" s="1"/>
  <c r="O102" i="3" s="1"/>
  <c r="N78" i="3"/>
  <c r="O78" i="3" s="1"/>
  <c r="O68" i="3"/>
  <c r="N98" i="3" s="1"/>
  <c r="O98" i="3" s="1"/>
  <c r="K84" i="3"/>
  <c r="L84" i="3" s="1"/>
  <c r="L74" i="3"/>
  <c r="K104" i="3" s="1"/>
  <c r="L104" i="3" s="1"/>
  <c r="K80" i="3"/>
  <c r="L80" i="3" s="1"/>
  <c r="L70" i="3"/>
  <c r="K100" i="3" s="1"/>
  <c r="L100" i="3" s="1"/>
  <c r="F10" i="6" l="1"/>
  <c r="G10" i="6" s="1"/>
  <c r="F6" i="28"/>
  <c r="F10" i="28"/>
  <c r="E3" i="28"/>
  <c r="F5" i="28"/>
  <c r="F9" i="28"/>
  <c r="F8" i="28"/>
  <c r="F7" i="28"/>
  <c r="F7" i="6"/>
  <c r="G7" i="6" s="1"/>
  <c r="G12" i="20"/>
  <c r="L14" i="6"/>
  <c r="Q13" i="20"/>
  <c r="H37" i="11"/>
  <c r="F8" i="6"/>
  <c r="G8" i="6" s="1"/>
  <c r="K37" i="11"/>
  <c r="F11" i="6"/>
  <c r="G11" i="6" s="1"/>
  <c r="D11" i="20"/>
  <c r="F11" i="20"/>
  <c r="E11" i="20"/>
  <c r="E7" i="20"/>
  <c r="D7" i="20"/>
  <c r="F7" i="20"/>
  <c r="Q8" i="20"/>
  <c r="I37" i="11"/>
  <c r="F9" i="6"/>
  <c r="G9" i="6" s="1"/>
  <c r="L83" i="9"/>
  <c r="J83" i="9"/>
  <c r="K83" i="9"/>
  <c r="I83" i="9"/>
  <c r="E25" i="9"/>
  <c r="D6" i="20"/>
  <c r="F6" i="20"/>
  <c r="E6" i="20"/>
  <c r="O14" i="6"/>
  <c r="D9" i="11"/>
  <c r="D38" i="11" s="1"/>
  <c r="C38" i="11" s="1"/>
  <c r="K80" i="9"/>
  <c r="K81" i="9"/>
  <c r="K82" i="9"/>
  <c r="F37" i="11"/>
  <c r="F6" i="6"/>
  <c r="G6" i="6" s="1"/>
  <c r="L80" i="9"/>
  <c r="L81" i="9"/>
  <c r="L82" i="9"/>
  <c r="I81" i="9"/>
  <c r="I82" i="9"/>
  <c r="I80" i="9"/>
  <c r="E8" i="11"/>
  <c r="E57" i="9"/>
  <c r="J82" i="9"/>
  <c r="J80" i="9"/>
  <c r="J81" i="9"/>
  <c r="E13" i="11"/>
  <c r="E34" i="10"/>
  <c r="E4" i="9"/>
  <c r="D7" i="11"/>
  <c r="H3" i="9"/>
  <c r="F3" i="9"/>
  <c r="G3" i="9"/>
  <c r="P15" i="6"/>
  <c r="T14" i="4"/>
  <c r="E8" i="2"/>
  <c r="F113" i="3"/>
  <c r="E5" i="2"/>
  <c r="S8" i="6"/>
  <c r="F110" i="3"/>
  <c r="D4" i="20"/>
  <c r="U13" i="6"/>
  <c r="V13" i="6" s="1"/>
  <c r="S9" i="6"/>
  <c r="E11" i="2"/>
  <c r="S11" i="6"/>
  <c r="F111" i="3"/>
  <c r="D15" i="4"/>
  <c r="Q22" i="20"/>
  <c r="Q14" i="4"/>
  <c r="B4" i="2"/>
  <c r="O106" i="3"/>
  <c r="E106" i="3"/>
  <c r="R14" i="4"/>
  <c r="O107" i="3"/>
  <c r="E107" i="3"/>
  <c r="T10" i="6"/>
  <c r="S10" i="6"/>
  <c r="E4" i="2"/>
  <c r="S4" i="4"/>
  <c r="O4" i="20"/>
  <c r="B9" i="2"/>
  <c r="E9" i="2"/>
  <c r="D14" i="4"/>
  <c r="G17" i="20"/>
  <c r="D16" i="20"/>
  <c r="G16" i="20" s="1"/>
  <c r="Q6" i="6"/>
  <c r="F108" i="3"/>
  <c r="N16" i="20"/>
  <c r="Q16" i="20" s="1"/>
  <c r="Q17" i="20"/>
  <c r="F129" i="3"/>
  <c r="F132" i="3"/>
  <c r="O20" i="20"/>
  <c r="F131" i="3"/>
  <c r="M4" i="4"/>
  <c r="L14" i="4"/>
  <c r="F130" i="3"/>
  <c r="F127" i="3"/>
  <c r="P23" i="20"/>
  <c r="F23" i="20"/>
  <c r="F126" i="3"/>
  <c r="N23" i="20"/>
  <c r="D23" i="20"/>
  <c r="O23" i="20"/>
  <c r="E23" i="20"/>
  <c r="F133" i="3"/>
  <c r="F128" i="3"/>
  <c r="F134" i="3"/>
  <c r="F135" i="3"/>
  <c r="P21" i="20"/>
  <c r="F21" i="20"/>
  <c r="F71" i="3"/>
  <c r="H101" i="3"/>
  <c r="I85" i="3"/>
  <c r="F85" i="3" s="1"/>
  <c r="E85" i="3"/>
  <c r="O13" i="4" s="1"/>
  <c r="P13" i="4" s="1"/>
  <c r="O21" i="20"/>
  <c r="E21" i="20"/>
  <c r="I76" i="3"/>
  <c r="E76" i="3"/>
  <c r="O4" i="4" s="1"/>
  <c r="H103" i="3"/>
  <c r="F73" i="3"/>
  <c r="F67" i="3"/>
  <c r="H97" i="3"/>
  <c r="I81" i="3"/>
  <c r="F81" i="3" s="1"/>
  <c r="E81" i="3"/>
  <c r="O9" i="4" s="1"/>
  <c r="P9" i="4" s="1"/>
  <c r="F74" i="3"/>
  <c r="H104" i="3"/>
  <c r="H99" i="3"/>
  <c r="F69" i="3"/>
  <c r="F72" i="3"/>
  <c r="H102" i="3"/>
  <c r="E20" i="20"/>
  <c r="I77" i="3"/>
  <c r="F77" i="3" s="1"/>
  <c r="E77" i="3"/>
  <c r="O5" i="4" s="1"/>
  <c r="P5" i="4" s="1"/>
  <c r="F20" i="20"/>
  <c r="P20" i="20"/>
  <c r="F70" i="3"/>
  <c r="H100" i="3"/>
  <c r="I84" i="3"/>
  <c r="F84" i="3" s="1"/>
  <c r="E84" i="3"/>
  <c r="O12" i="4" s="1"/>
  <c r="P12" i="4" s="1"/>
  <c r="I83" i="3"/>
  <c r="F83" i="3" s="1"/>
  <c r="E83" i="3"/>
  <c r="O11" i="4" s="1"/>
  <c r="P11" i="4" s="1"/>
  <c r="F68" i="3"/>
  <c r="H98" i="3"/>
  <c r="I82" i="3"/>
  <c r="F82" i="3" s="1"/>
  <c r="E82" i="3"/>
  <c r="O10" i="4" s="1"/>
  <c r="P10" i="4" s="1"/>
  <c r="F75" i="3"/>
  <c r="H105" i="3"/>
  <c r="I80" i="3"/>
  <c r="F80" i="3" s="1"/>
  <c r="E80" i="3"/>
  <c r="O8" i="4" s="1"/>
  <c r="P8" i="4" s="1"/>
  <c r="H96" i="3"/>
  <c r="F66" i="3"/>
  <c r="I79" i="3"/>
  <c r="F79" i="3" s="1"/>
  <c r="E79" i="3"/>
  <c r="O7" i="4" s="1"/>
  <c r="P7" i="4" s="1"/>
  <c r="I78" i="3"/>
  <c r="F78" i="3" s="1"/>
  <c r="E78" i="3"/>
  <c r="O6" i="4" s="1"/>
  <c r="P6" i="4" s="1"/>
  <c r="G7" i="20" l="1"/>
  <c r="D5" i="20"/>
  <c r="F5" i="20"/>
  <c r="M5" i="28"/>
  <c r="M8" i="28"/>
  <c r="M3" i="28"/>
  <c r="M7" i="28"/>
  <c r="M4" i="28"/>
  <c r="G11" i="20"/>
  <c r="E3" i="9"/>
  <c r="P7" i="20"/>
  <c r="O7" i="20"/>
  <c r="O5" i="20" s="1"/>
  <c r="N7" i="20"/>
  <c r="E5" i="20"/>
  <c r="F83" i="9"/>
  <c r="H83" i="9"/>
  <c r="G83" i="9"/>
  <c r="P11" i="20"/>
  <c r="O11" i="20"/>
  <c r="N11" i="20"/>
  <c r="P12" i="20"/>
  <c r="N12" i="20"/>
  <c r="O12" i="20"/>
  <c r="G6" i="20"/>
  <c r="N6" i="20"/>
  <c r="N5" i="20" s="1"/>
  <c r="P6" i="20"/>
  <c r="O6" i="20"/>
  <c r="I4" i="6"/>
  <c r="J4" i="6" s="1"/>
  <c r="J78" i="9"/>
  <c r="J56" i="9" s="1"/>
  <c r="C9" i="11"/>
  <c r="K78" i="9"/>
  <c r="K56" i="9" s="1"/>
  <c r="G80" i="9"/>
  <c r="G81" i="9"/>
  <c r="G82" i="9"/>
  <c r="H80" i="9"/>
  <c r="H81" i="9"/>
  <c r="H82" i="9"/>
  <c r="E42" i="11"/>
  <c r="C42" i="11" s="1"/>
  <c r="C13" i="11"/>
  <c r="C5" i="6"/>
  <c r="I78" i="9"/>
  <c r="I56" i="9" s="1"/>
  <c r="F82" i="9"/>
  <c r="F80" i="9"/>
  <c r="F81" i="9"/>
  <c r="E37" i="11"/>
  <c r="C37" i="11" s="1"/>
  <c r="F5" i="6"/>
  <c r="G5" i="6" s="1"/>
  <c r="C8" i="11"/>
  <c r="L78" i="9"/>
  <c r="L56" i="9" s="1"/>
  <c r="C7" i="11"/>
  <c r="D36" i="11"/>
  <c r="F4" i="6"/>
  <c r="D15" i="11"/>
  <c r="C13" i="2"/>
  <c r="D13" i="2" s="1"/>
  <c r="I13" i="2" s="1"/>
  <c r="E10" i="2"/>
  <c r="B10" i="2"/>
  <c r="P4" i="20"/>
  <c r="F4" i="20"/>
  <c r="T6" i="6"/>
  <c r="S6" i="6"/>
  <c r="Q14" i="6"/>
  <c r="S15" i="4"/>
  <c r="S14" i="4"/>
  <c r="F107" i="3"/>
  <c r="R5" i="6"/>
  <c r="F106" i="3"/>
  <c r="R4" i="6"/>
  <c r="P19" i="20"/>
  <c r="P15" i="20" s="1"/>
  <c r="O19" i="20"/>
  <c r="O15" i="20" s="1"/>
  <c r="G23" i="20"/>
  <c r="M14" i="4"/>
  <c r="M15" i="4"/>
  <c r="Q23" i="20"/>
  <c r="F19" i="20"/>
  <c r="F15" i="20" s="1"/>
  <c r="E19" i="20"/>
  <c r="E15" i="20" s="1"/>
  <c r="E97" i="3"/>
  <c r="I5" i="4" s="1"/>
  <c r="I97" i="3"/>
  <c r="F97" i="3" s="1"/>
  <c r="O14" i="4"/>
  <c r="P4" i="4"/>
  <c r="E101" i="3"/>
  <c r="I9" i="4" s="1"/>
  <c r="I101" i="3"/>
  <c r="F101" i="3" s="1"/>
  <c r="I100" i="3"/>
  <c r="F100" i="3" s="1"/>
  <c r="E100" i="3"/>
  <c r="I8" i="4" s="1"/>
  <c r="E99" i="3"/>
  <c r="I7" i="4" s="1"/>
  <c r="I99" i="3"/>
  <c r="F99" i="3" s="1"/>
  <c r="F76" i="3"/>
  <c r="D21" i="20"/>
  <c r="G21" i="20" s="1"/>
  <c r="N21" i="20"/>
  <c r="Q21" i="20" s="1"/>
  <c r="E102" i="3"/>
  <c r="I10" i="4" s="1"/>
  <c r="I102" i="3"/>
  <c r="F102" i="3" s="1"/>
  <c r="I104" i="3"/>
  <c r="F104" i="3" s="1"/>
  <c r="E104" i="3"/>
  <c r="I12" i="4" s="1"/>
  <c r="I96" i="3"/>
  <c r="E96" i="3"/>
  <c r="I4" i="4" s="1"/>
  <c r="E105" i="3"/>
  <c r="I13" i="4" s="1"/>
  <c r="I105" i="3"/>
  <c r="F105" i="3" s="1"/>
  <c r="E98" i="3"/>
  <c r="I6" i="4" s="1"/>
  <c r="I98" i="3"/>
  <c r="F98" i="3" s="1"/>
  <c r="E103" i="3"/>
  <c r="I11" i="4" s="1"/>
  <c r="I103" i="3"/>
  <c r="F103" i="3" s="1"/>
  <c r="G5" i="20" l="1"/>
  <c r="Q7" i="20"/>
  <c r="Q11" i="20"/>
  <c r="P5" i="20"/>
  <c r="Q5" i="20" s="1"/>
  <c r="E83" i="9"/>
  <c r="H10" i="11" s="1"/>
  <c r="E85" i="9"/>
  <c r="J10" i="11" s="1"/>
  <c r="E87" i="9"/>
  <c r="L10" i="11" s="1"/>
  <c r="E86" i="9"/>
  <c r="K10" i="11" s="1"/>
  <c r="Q6" i="20"/>
  <c r="E84" i="9"/>
  <c r="I10" i="11" s="1"/>
  <c r="Q12" i="20"/>
  <c r="N20" i="20"/>
  <c r="E82" i="9"/>
  <c r="G10" i="11" s="1"/>
  <c r="G39" i="11" s="1"/>
  <c r="G44" i="11" s="1"/>
  <c r="E81" i="9"/>
  <c r="F10" i="11" s="1"/>
  <c r="I6" i="6" s="1"/>
  <c r="D5" i="6"/>
  <c r="C14" i="6"/>
  <c r="H78" i="9"/>
  <c r="E80" i="9"/>
  <c r="G78" i="9"/>
  <c r="G4" i="6"/>
  <c r="F14" i="6"/>
  <c r="C36" i="11"/>
  <c r="D44" i="11"/>
  <c r="S4" i="6"/>
  <c r="R14" i="6"/>
  <c r="U4" i="6"/>
  <c r="G4" i="20"/>
  <c r="B6" i="2"/>
  <c r="E6" i="2"/>
  <c r="E14" i="2" s="1"/>
  <c r="T14" i="6"/>
  <c r="S5" i="6"/>
  <c r="Q4" i="20"/>
  <c r="J10" i="4"/>
  <c r="U10" i="4"/>
  <c r="P15" i="4"/>
  <c r="P14" i="4"/>
  <c r="J11" i="4"/>
  <c r="U11" i="4"/>
  <c r="J13" i="4"/>
  <c r="U13" i="4"/>
  <c r="J12" i="4"/>
  <c r="U12" i="4"/>
  <c r="J4" i="4"/>
  <c r="U4" i="4"/>
  <c r="I14" i="4"/>
  <c r="J7" i="4"/>
  <c r="U7" i="4"/>
  <c r="J9" i="4"/>
  <c r="U9" i="4"/>
  <c r="J6" i="4"/>
  <c r="U6" i="4"/>
  <c r="F96" i="3"/>
  <c r="D20" i="20"/>
  <c r="J8" i="4"/>
  <c r="U8" i="4"/>
  <c r="J5" i="4"/>
  <c r="U5" i="4"/>
  <c r="L39" i="11" l="1"/>
  <c r="L44" i="11" s="1"/>
  <c r="I12" i="6"/>
  <c r="L15" i="11"/>
  <c r="J39" i="11"/>
  <c r="J44" i="11" s="1"/>
  <c r="I10" i="6"/>
  <c r="J15" i="11"/>
  <c r="I39" i="11"/>
  <c r="I44" i="11" s="1"/>
  <c r="I9" i="6"/>
  <c r="I15" i="11"/>
  <c r="K39" i="11"/>
  <c r="K44" i="11" s="1"/>
  <c r="I11" i="6"/>
  <c r="K15" i="11"/>
  <c r="H39" i="11"/>
  <c r="H44" i="11" s="1"/>
  <c r="H15" i="11"/>
  <c r="I8" i="6"/>
  <c r="G15" i="11"/>
  <c r="I7" i="6"/>
  <c r="J7" i="6" s="1"/>
  <c r="F39" i="11"/>
  <c r="F44" i="11" s="1"/>
  <c r="F15" i="11"/>
  <c r="G56" i="9"/>
  <c r="H56" i="9"/>
  <c r="J6" i="6"/>
  <c r="U6" i="6"/>
  <c r="D14" i="6"/>
  <c r="D15" i="6"/>
  <c r="G15" i="6"/>
  <c r="G14" i="6"/>
  <c r="C4" i="2"/>
  <c r="V4" i="6"/>
  <c r="B14" i="2"/>
  <c r="S15" i="6"/>
  <c r="S14" i="6"/>
  <c r="V8" i="4"/>
  <c r="V4" i="4"/>
  <c r="U14" i="4"/>
  <c r="F4" i="2"/>
  <c r="V13" i="4"/>
  <c r="F13" i="2"/>
  <c r="G13" i="2" s="1"/>
  <c r="J13" i="2" s="1"/>
  <c r="V6" i="4"/>
  <c r="V7" i="4"/>
  <c r="J14" i="4"/>
  <c r="J15" i="4"/>
  <c r="V5" i="4"/>
  <c r="G20" i="20"/>
  <c r="D19" i="20"/>
  <c r="V12" i="4"/>
  <c r="V11" i="4"/>
  <c r="V10" i="4"/>
  <c r="Q20" i="20"/>
  <c r="N19" i="20"/>
  <c r="V9" i="4"/>
  <c r="J10" i="6" l="1"/>
  <c r="U10" i="6"/>
  <c r="J9" i="6"/>
  <c r="U9" i="6"/>
  <c r="J8" i="6"/>
  <c r="U8" i="6"/>
  <c r="J12" i="6"/>
  <c r="U12" i="6"/>
  <c r="J11" i="6"/>
  <c r="U11" i="6"/>
  <c r="U7" i="6"/>
  <c r="F7" i="2" s="1"/>
  <c r="G7" i="2" s="1"/>
  <c r="J7" i="2" s="1"/>
  <c r="C6" i="2"/>
  <c r="D6" i="2" s="1"/>
  <c r="I6" i="2" s="1"/>
  <c r="V6" i="6"/>
  <c r="F6" i="2"/>
  <c r="G6" i="2" s="1"/>
  <c r="J6" i="2" s="1"/>
  <c r="D4" i="2"/>
  <c r="V14" i="4"/>
  <c r="V15" i="4"/>
  <c r="Q19" i="20"/>
  <c r="N15" i="20"/>
  <c r="Q15" i="20" s="1"/>
  <c r="G19" i="20"/>
  <c r="D15" i="20"/>
  <c r="G15" i="20" s="1"/>
  <c r="G4" i="2"/>
  <c r="C10" i="2" l="1"/>
  <c r="D10" i="2" s="1"/>
  <c r="I10" i="2" s="1"/>
  <c r="V10" i="6"/>
  <c r="F10" i="2"/>
  <c r="G10" i="2" s="1"/>
  <c r="J10" i="2" s="1"/>
  <c r="V12" i="6"/>
  <c r="C12" i="2"/>
  <c r="D12" i="2" s="1"/>
  <c r="I12" i="2" s="1"/>
  <c r="F12" i="2"/>
  <c r="G12" i="2" s="1"/>
  <c r="J12" i="2" s="1"/>
  <c r="V9" i="6"/>
  <c r="C9" i="2"/>
  <c r="D9" i="2" s="1"/>
  <c r="I9" i="2" s="1"/>
  <c r="F9" i="2"/>
  <c r="G9" i="2" s="1"/>
  <c r="J9" i="2" s="1"/>
  <c r="C11" i="2"/>
  <c r="D11" i="2" s="1"/>
  <c r="I11" i="2" s="1"/>
  <c r="V11" i="6"/>
  <c r="F11" i="2"/>
  <c r="G11" i="2" s="1"/>
  <c r="J11" i="2" s="1"/>
  <c r="C8" i="2"/>
  <c r="D8" i="2" s="1"/>
  <c r="I8" i="2" s="1"/>
  <c r="V8" i="6"/>
  <c r="F8" i="2"/>
  <c r="G8" i="2" s="1"/>
  <c r="J8" i="2" s="1"/>
  <c r="C7" i="2"/>
  <c r="D7" i="2" s="1"/>
  <c r="I7" i="2" s="1"/>
  <c r="V7" i="6"/>
  <c r="I4" i="2"/>
  <c r="J4" i="2"/>
  <c r="K4" i="2" l="1"/>
  <c r="L4" i="2" l="1"/>
  <c r="F78" i="9" l="1"/>
  <c r="E110" i="9"/>
  <c r="L6" i="28" l="1"/>
  <c r="E78" i="9"/>
  <c r="E10" i="11"/>
  <c r="E15" i="11" s="1"/>
  <c r="D10" i="20"/>
  <c r="E10" i="20"/>
  <c r="E9" i="20" s="1"/>
  <c r="E3" i="20" s="1"/>
  <c r="F10" i="20"/>
  <c r="F9" i="20" s="1"/>
  <c r="F3" i="20" s="1"/>
  <c r="F56" i="9"/>
  <c r="M6" i="28" l="1"/>
  <c r="M9" i="28" s="1"/>
  <c r="I5" i="6"/>
  <c r="I14" i="6" s="1"/>
  <c r="E39" i="11"/>
  <c r="C39" i="11" s="1"/>
  <c r="C10" i="11"/>
  <c r="D9" i="20"/>
  <c r="G9" i="20" s="1"/>
  <c r="G10" i="20"/>
  <c r="E56" i="9"/>
  <c r="O10" i="20"/>
  <c r="O9" i="20" s="1"/>
  <c r="O3" i="20" s="1"/>
  <c r="P10" i="20"/>
  <c r="P9" i="20" s="1"/>
  <c r="P3" i="20" s="1"/>
  <c r="N10" i="20"/>
  <c r="C15" i="11" l="1"/>
  <c r="U5" i="6"/>
  <c r="V5" i="6" s="1"/>
  <c r="V15" i="6" s="1"/>
  <c r="D3" i="20"/>
  <c r="G3" i="20" s="1"/>
  <c r="E44" i="11"/>
  <c r="C44" i="11" s="1"/>
  <c r="J5" i="6"/>
  <c r="J14" i="6" s="1"/>
  <c r="N9" i="20"/>
  <c r="Q10" i="20"/>
  <c r="J17" i="2" l="1"/>
  <c r="B2" i="7" s="1"/>
  <c r="V14" i="6"/>
  <c r="C5" i="2"/>
  <c r="C14" i="2" s="1"/>
  <c r="U14" i="6"/>
  <c r="F5" i="2"/>
  <c r="G5" i="2" s="1"/>
  <c r="J5" i="2" s="1"/>
  <c r="J15" i="6"/>
  <c r="Q9" i="20"/>
  <c r="N3" i="20"/>
  <c r="Q3" i="20" s="1"/>
  <c r="L7" i="7" l="1"/>
  <c r="I7" i="7"/>
  <c r="C42" i="7"/>
  <c r="R7" i="7"/>
  <c r="C7" i="7"/>
  <c r="C26" i="7"/>
  <c r="O7" i="7"/>
  <c r="F7" i="7"/>
  <c r="D5" i="2"/>
  <c r="J18" i="2" s="1"/>
  <c r="G14" i="2"/>
  <c r="F14" i="2"/>
  <c r="J19" i="2"/>
  <c r="K5" i="2"/>
  <c r="J14" i="2"/>
  <c r="J22" i="2" s="1"/>
  <c r="D14" i="2" l="1"/>
  <c r="I5" i="2"/>
  <c r="I14" i="2" s="1"/>
  <c r="J21" i="2" s="1"/>
  <c r="L5" i="2"/>
  <c r="K6" i="2"/>
  <c r="K7" i="2" s="1"/>
  <c r="K8" i="2" s="1"/>
  <c r="K9" i="2" s="1"/>
  <c r="K10" i="2" s="1"/>
  <c r="K11" i="2" s="1"/>
  <c r="K12" i="2" s="1"/>
  <c r="K13" i="2" s="1"/>
  <c r="L6" i="2" l="1"/>
  <c r="L7" i="2" s="1"/>
  <c r="L8" i="2" s="1"/>
  <c r="L9" i="2" s="1"/>
  <c r="L10" i="2" s="1"/>
  <c r="L11" i="2" s="1"/>
  <c r="L12" i="2" s="1"/>
  <c r="L1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KPMG</author>
  </authors>
  <commentList>
    <comment ref="I14" authorId="0" shapeId="0" xr:uid="{00000000-0006-0000-0300-000001000000}">
      <text>
        <r>
          <rPr>
            <sz val="8"/>
            <color indexed="81"/>
            <rFont val="Tahoma"/>
            <family val="2"/>
            <charset val="238"/>
          </rPr>
          <t>ocakavame zapornu hodnotu
tato zaporna hodnota ma zodpovedat max. fin. pomoci z SF</t>
        </r>
      </text>
    </comment>
    <comment ref="J14" authorId="0" shapeId="0" xr:uid="{00000000-0006-0000-0300-000002000000}">
      <text>
        <r>
          <rPr>
            <sz val="8"/>
            <color indexed="81"/>
            <rFont val="Tahoma"/>
            <family val="2"/>
            <charset val="238"/>
          </rPr>
          <t>ocakavame kladnu hodnotu (moze byt aj nizko nad nulou)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Martin Sedlacek</author>
  </authors>
  <commentList>
    <comment ref="G5" authorId="0" shapeId="0" xr:uid="{00000000-0006-0000-0700-000001000000}">
      <text>
        <r>
          <rPr>
            <b/>
            <sz val="9"/>
            <color indexed="81"/>
            <rFont val="Tahoma"/>
            <family val="2"/>
          </rPr>
          <t>Martin Sedlacek:</t>
        </r>
        <r>
          <rPr>
            <sz val="9"/>
            <color indexed="81"/>
            <rFont val="Tahoma"/>
            <family val="2"/>
          </rPr>
          <t xml:space="preserve">
V súčasnosti 2 z uvažovaných 7 PO reportujú údaje na mesačnej báze. Ostatné iba raz za rok.</t>
        </r>
      </text>
    </comment>
    <comment ref="I5" authorId="0" shapeId="0" xr:uid="{00000000-0006-0000-0700-000002000000}">
      <text>
        <r>
          <rPr>
            <b/>
            <sz val="9"/>
            <color indexed="81"/>
            <rFont val="Tahoma"/>
            <family val="2"/>
          </rPr>
          <t>Martin Sedlacek:</t>
        </r>
        <r>
          <rPr>
            <sz val="9"/>
            <color indexed="81"/>
            <rFont val="Tahoma"/>
            <family val="2"/>
          </rPr>
          <t xml:space="preserve">
1. rok je realizovaná implementácia.</t>
        </r>
      </text>
    </comment>
    <comment ref="H6" authorId="0" shapeId="0" xr:uid="{00000000-0006-0000-0700-000003000000}">
      <text>
        <r>
          <rPr>
            <b/>
            <sz val="9"/>
            <color indexed="81"/>
            <rFont val="Tahoma"/>
            <family val="2"/>
          </rPr>
          <t>Martin Sedlacek:</t>
        </r>
        <r>
          <rPr>
            <sz val="9"/>
            <color indexed="81"/>
            <rFont val="Tahoma"/>
            <family val="2"/>
          </rPr>
          <t xml:space="preserve">
Budúci stav počíta s reportovaním všetkých 7 PO na mesačnej, a tiež ročnej báze.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Krok Martin</author>
  </authors>
  <commentList>
    <comment ref="BR61" authorId="0" shapeId="0" xr:uid="{00000000-0006-0000-0D00-000001000000}">
      <text>
        <r>
          <rPr>
            <b/>
            <sz val="9"/>
            <color indexed="81"/>
            <rFont val="Segoe UI"/>
            <family val="2"/>
            <charset val="238"/>
          </rPr>
          <t>Krok Martin:</t>
        </r>
        <r>
          <rPr>
            <sz val="9"/>
            <color indexed="81"/>
            <rFont val="Segoe UI"/>
            <family val="2"/>
            <charset val="238"/>
          </rPr>
          <t xml:space="preserve">
Súčet by mal zodpoveď Investičným nákladom na vývoj aplikácií
 v Alternatíve 2</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Krok Martin</author>
  </authors>
  <commentList>
    <comment ref="AG12" authorId="0" shapeId="0" xr:uid="{00000000-0006-0000-1000-000001000000}">
      <text>
        <r>
          <rPr>
            <b/>
            <sz val="9"/>
            <color indexed="81"/>
            <rFont val="Segoe UI"/>
            <family val="2"/>
            <charset val="238"/>
          </rPr>
          <t>Krok Martin:</t>
        </r>
        <r>
          <rPr>
            <sz val="9"/>
            <color indexed="81"/>
            <rFont val="Segoe UI"/>
            <family val="2"/>
            <charset val="238"/>
          </rPr>
          <t xml:space="preserve">
Súčet by mal zodpoveď Investičným nákladom na vývoj aplikácií
 v Alternatíve 2</t>
        </r>
      </text>
    </comment>
    <comment ref="AH12" authorId="0" shapeId="0" xr:uid="{00000000-0006-0000-1000-000002000000}">
      <text>
        <r>
          <rPr>
            <b/>
            <sz val="9"/>
            <color indexed="81"/>
            <rFont val="Segoe UI"/>
            <family val="2"/>
            <charset val="238"/>
          </rPr>
          <t>Krok Martin:</t>
        </r>
        <r>
          <rPr>
            <sz val="9"/>
            <color indexed="81"/>
            <rFont val="Segoe UI"/>
            <family val="2"/>
            <charset val="238"/>
          </rPr>
          <t xml:space="preserve">
Súčet by mal zodpoveď Investičným nákladom na vývoj aplikácií
 v Alternatíve 2</t>
        </r>
      </text>
    </comment>
    <comment ref="AI12" authorId="0" shapeId="0" xr:uid="{00000000-0006-0000-1000-000003000000}">
      <text>
        <r>
          <rPr>
            <b/>
            <sz val="9"/>
            <color indexed="81"/>
            <rFont val="Segoe UI"/>
            <family val="2"/>
            <charset val="238"/>
          </rPr>
          <t>Krok Martin:</t>
        </r>
        <r>
          <rPr>
            <sz val="9"/>
            <color indexed="81"/>
            <rFont val="Segoe UI"/>
            <family val="2"/>
            <charset val="238"/>
          </rPr>
          <t xml:space="preserve">
Súčet by mal zodpoveď Investičným nákladom na vývoj aplikácií
 v Alternatíve 2</t>
        </r>
      </text>
    </comment>
    <comment ref="AP12" authorId="0" shapeId="0" xr:uid="{00000000-0006-0000-1000-000004000000}">
      <text>
        <r>
          <rPr>
            <b/>
            <sz val="9"/>
            <color indexed="81"/>
            <rFont val="Segoe UI"/>
            <family val="2"/>
            <charset val="238"/>
          </rPr>
          <t>Krok Martin:</t>
        </r>
        <r>
          <rPr>
            <sz val="9"/>
            <color indexed="81"/>
            <rFont val="Segoe UI"/>
            <family val="2"/>
            <charset val="238"/>
          </rPr>
          <t xml:space="preserve">
Súčet by mal zodpoveď Investičným nákladom na vývoj aplikácií
 v Alternatíve 2</t>
        </r>
      </text>
    </comment>
  </commentList>
</comments>
</file>

<file path=xl/sharedStrings.xml><?xml version="1.0" encoding="utf-8"?>
<sst xmlns="http://schemas.openxmlformats.org/spreadsheetml/2006/main" count="1735" uniqueCount="538">
  <si>
    <t>Názov</t>
  </si>
  <si>
    <t>Popis</t>
  </si>
  <si>
    <t>Hodnota</t>
  </si>
  <si>
    <t>Životnosť projektu (t)</t>
  </si>
  <si>
    <t>Referenčné obdobie je počet rokov, na ktorý sa vo finančnej analýze (analýze nákladov a výnosov) uvádzajú predpovede. Predpovede týkajúce sa budúceho trendu projektu by sa mali formulovať na obdobie, ktoré je primerané jeho ekonomicky užitočnému trvaniu a ktoré je dosť dlhé na to, aby zahŕňalo jeho pravdepodobné dlhodobejšie dosahy. Ide o časové obdobie, kedy je možné overiť úspešnosť investície. Trvanie sa mení podľa povahy investície. Referenčný časový horizont v rokoch podľa sektorov je uvedený podľa prílohy 1 Delegovaného nariadenia Komisie (EÚ) 480/2014 z 3. marca 2014, ktorým sa dopĺňa všeobecné nariadenie.</t>
  </si>
  <si>
    <t>Referenčná diskontná sadzba (i)</t>
  </si>
  <si>
    <t>Sociálna diskontná sadzba (r)</t>
  </si>
  <si>
    <t>Cieľom CBA je preukázať pri štrukturálne významných investíciách, že ekonomická čistá súčasná hodnota za dané obdobie a pri stanovenej sociálnej diskontnej sadzbe je kladná.</t>
  </si>
  <si>
    <t>Diskontovanie odhadovaných nákladov a prínosov: keď sa odhadne tok ekonomických nákladov a prínosov, mala by sa uplatniť štandardná diskontovaná metodika peňažného toku pomocou sociálnej diskontnej sadzby</t>
  </si>
  <si>
    <t>Osobné náklady (Cper)</t>
  </si>
  <si>
    <t>Jednotka</t>
  </si>
  <si>
    <t>rok</t>
  </si>
  <si>
    <t>%</t>
  </si>
  <si>
    <t>EUR</t>
  </si>
  <si>
    <t xml:space="preserve">Diskontná sadzba, ktorá sa má používať vo finančnej analýze má informovať investora o alternatívnych kapitálových nákladoch. Môže sa za ňu považovať ušlý výnos najlepšieho alternatívneho projektu.
V prípade verejných investičných projektov spolufinancovaných z fondov sa stanovuje 4 % finančná diskontná sadzbu pre výpočet čistej súčasnej hodnoty investície v stálych cenách roku predloženia žiadosti o NFP.
</t>
  </si>
  <si>
    <t>EUR/hod</t>
  </si>
  <si>
    <t>Čistá súčasná hodnota z projektu</t>
  </si>
  <si>
    <t>Finančné prínosy</t>
  </si>
  <si>
    <t>Ekonomické prínosy</t>
  </si>
  <si>
    <t>koeficient obdobia</t>
  </si>
  <si>
    <t>Finančná (FNPV)</t>
  </si>
  <si>
    <t>Ekonomická (ENPV)</t>
  </si>
  <si>
    <t>Kumulovaná diskont. návratnosť ENPV</t>
  </si>
  <si>
    <t>Obdobie</t>
  </si>
  <si>
    <t>rozdiel</t>
  </si>
  <si>
    <t>t1</t>
  </si>
  <si>
    <t>t2</t>
  </si>
  <si>
    <t>t3</t>
  </si>
  <si>
    <t>t4</t>
  </si>
  <si>
    <t>t5</t>
  </si>
  <si>
    <t>t6</t>
  </si>
  <si>
    <t>t7</t>
  </si>
  <si>
    <t>t8</t>
  </si>
  <si>
    <t>t9</t>
  </si>
  <si>
    <t>t10</t>
  </si>
  <si>
    <t>SPOLU</t>
  </si>
  <si>
    <t>Cashflow projektu</t>
  </si>
  <si>
    <t>počet / rok</t>
  </si>
  <si>
    <t>hod.</t>
  </si>
  <si>
    <t>Kvalitatívne prínosy</t>
  </si>
  <si>
    <t>Parameter</t>
  </si>
  <si>
    <t>Počet podaní</t>
  </si>
  <si>
    <t>Výška administratívneho poplatku</t>
  </si>
  <si>
    <t>Počet zamestnancov vybavujúcich agendu</t>
  </si>
  <si>
    <t>Priame prínosy</t>
  </si>
  <si>
    <t>Nepriame prínosy</t>
  </si>
  <si>
    <t>Prínosy spolu</t>
  </si>
  <si>
    <t>Administratívne poplatky</t>
  </si>
  <si>
    <t>Ostatné daňové a nedaňové príjmy</t>
  </si>
  <si>
    <t>Cena ušetreného času používateľa</t>
  </si>
  <si>
    <t>Kvalitatívne prínosy vo finančnom vyjadrení</t>
  </si>
  <si>
    <t>Organizácia</t>
  </si>
  <si>
    <t>Ulica</t>
  </si>
  <si>
    <t>PSČ</t>
  </si>
  <si>
    <t>Web</t>
  </si>
  <si>
    <t>IČO</t>
  </si>
  <si>
    <t>Spracovateľ</t>
  </si>
  <si>
    <t xml:space="preserve">    Titul, Meno, Priezvisko</t>
  </si>
  <si>
    <t xml:space="preserve">Kontakt na spracovateľa    </t>
  </si>
  <si>
    <t xml:space="preserve">    Email, telefón</t>
  </si>
  <si>
    <t>Hlavička tabuľky</t>
  </si>
  <si>
    <t>Popisná informácia</t>
  </si>
  <si>
    <t>Metodický pokyn k vypracovaniu finančnej analýzy projektu, analýzy nákladov a prínosov projektu a finančnej analýzy žiadateľa o NFP v programovom období 2014 – 2020.</t>
  </si>
  <si>
    <t>Jednotlivé informácie sú farebne odlíšené nasledovne:</t>
  </si>
  <si>
    <t>Automaticky vypočitavané hodnoty</t>
  </si>
  <si>
    <t>Miesto na vpisovanie vlastných hodnôt</t>
  </si>
  <si>
    <t>Preddefinované konštanty</t>
  </si>
  <si>
    <t>Pre projekty zamerané na služby agendových informačných systémov</t>
  </si>
  <si>
    <t>HW</t>
  </si>
  <si>
    <t>SW</t>
  </si>
  <si>
    <t>Všeobecný materiál</t>
  </si>
  <si>
    <t>Variabilné výdavky</t>
  </si>
  <si>
    <t>Výdavky spolu</t>
  </si>
  <si>
    <t>ENPV</t>
  </si>
  <si>
    <t>Obstaranie, inštalácia SW produktu vrátane licencie k SW</t>
  </si>
  <si>
    <t>013 Softvér</t>
  </si>
  <si>
    <t>Kód EKO klasifikácie</t>
  </si>
  <si>
    <t>Účet/skupina výdavkov</t>
  </si>
  <si>
    <t>Vytvorenie aplikácie</t>
  </si>
  <si>
    <t>Školenia spojené so SW a aplikáciou</t>
  </si>
  <si>
    <t>518 Ostatné služby</t>
  </si>
  <si>
    <t>Prevádzka vytvoreného riešenia</t>
  </si>
  <si>
    <t>Poplatky vlastníkovi SW produktu - údržba / support k licenciám</t>
  </si>
  <si>
    <t>511 Opravy a udržiavanie</t>
  </si>
  <si>
    <t>Upgrade SW produktu</t>
  </si>
  <si>
    <t>Poplatky za udržanie funkčnosti / dostupnosti aplikácie / update</t>
  </si>
  <si>
    <t>Aplikačná podpora / helpdesk</t>
  </si>
  <si>
    <t>Rozvoj - doplnenie funkcionality aplikácie / upgrade</t>
  </si>
  <si>
    <t>Personálne náklady spojené s prevádzkou SW produktu a aplikácie</t>
  </si>
  <si>
    <t>521 Mzdové výdavky</t>
  </si>
  <si>
    <t>Obstaranie</t>
  </si>
  <si>
    <t>Prevádzka riešenia</t>
  </si>
  <si>
    <t>Nákup, inštalácia a sprevádzkovanie HW 
vrátane systémového SW</t>
  </si>
  <si>
    <t>Nákup, inštalácia a sprevádzkovanie HW
 vrátane systémového SW</t>
  </si>
  <si>
    <t>Školenia spojené s HW</t>
  </si>
  <si>
    <t>022 Samostatné hnuteľné veci
 a súbory hnuteľných vecí</t>
  </si>
  <si>
    <t>Poplatky dodávateľovi podpory HW - údržba/maintenance</t>
  </si>
  <si>
    <t>Upgrade HW</t>
  </si>
  <si>
    <t>Náklady na priestory, energie</t>
  </si>
  <si>
    <t>Personálne náklady spojené s prevádzkou HW</t>
  </si>
  <si>
    <t>Náklady na obstaranie a prevádzku HW</t>
  </si>
  <si>
    <t>Náklady na obstaranie a prevádzku SW</t>
  </si>
  <si>
    <t>Celkové náklady na vlastníctvo (TCO)</t>
  </si>
  <si>
    <t>Rok</t>
  </si>
  <si>
    <t>HW sumár obstaranie</t>
  </si>
  <si>
    <t>HW sumár prevádzka</t>
  </si>
  <si>
    <t xml:space="preserve">Spolu </t>
  </si>
  <si>
    <t>Spolu</t>
  </si>
  <si>
    <t>SW produkty</t>
  </si>
  <si>
    <t>Aplikácie</t>
  </si>
  <si>
    <t>SW produkty - sumár obstaranie</t>
  </si>
  <si>
    <t>SW produkty - sumár prevádzka</t>
  </si>
  <si>
    <t>Aplikácie - sumár obstaranie</t>
  </si>
  <si>
    <t>Aplikácie - sumár prevádzka</t>
  </si>
  <si>
    <t xml:space="preserve">Prvý rok, ktorým výpočet CBA a TCO začína, rok začatia projektu </t>
  </si>
  <si>
    <t>Príloha pre výpočet TCO a čistej súčasnej hodnoty z projektu</t>
  </si>
  <si>
    <t>Názov riešenia</t>
  </si>
  <si>
    <t>112 Zásoby</t>
  </si>
  <si>
    <t>Náklady na existujúce riešenie
(pôvodné riešenie pred realizáciou projektu OP II), ktoré bolo nahradené</t>
  </si>
  <si>
    <t>Kód ISVS z MetaIS</t>
  </si>
  <si>
    <t>Číslo projektu ITMS</t>
  </si>
  <si>
    <t>Vytvorenie riešenia - obstaranie</t>
  </si>
  <si>
    <t>BCR</t>
  </si>
  <si>
    <t>Výstup/funkcionalita projektu</t>
  </si>
  <si>
    <t>M1</t>
  </si>
  <si>
    <t>M2</t>
  </si>
  <si>
    <t>M3</t>
  </si>
  <si>
    <t>M4</t>
  </si>
  <si>
    <t>M5</t>
  </si>
  <si>
    <t>M6</t>
  </si>
  <si>
    <t>M7</t>
  </si>
  <si>
    <t>M8</t>
  </si>
  <si>
    <t>M9</t>
  </si>
  <si>
    <t>M10</t>
  </si>
  <si>
    <t>M11</t>
  </si>
  <si>
    <t>M12</t>
  </si>
  <si>
    <t>M13</t>
  </si>
  <si>
    <t>M14</t>
  </si>
  <si>
    <t>M15</t>
  </si>
  <si>
    <t>M16</t>
  </si>
  <si>
    <t>M17</t>
  </si>
  <si>
    <t>M18</t>
  </si>
  <si>
    <t>M19</t>
  </si>
  <si>
    <t>M20</t>
  </si>
  <si>
    <t>M21</t>
  </si>
  <si>
    <t>M22</t>
  </si>
  <si>
    <t>M24</t>
  </si>
  <si>
    <t>Počet dní interné</t>
  </si>
  <si>
    <t>Počet dní externé</t>
  </si>
  <si>
    <t>Pocet FTE interne</t>
  </si>
  <si>
    <t>Pocet FTE externe</t>
  </si>
  <si>
    <t>Rate FTE interné</t>
  </si>
  <si>
    <t>Rate FTE externé</t>
  </si>
  <si>
    <t>Suma interné</t>
  </si>
  <si>
    <t>Suma externé</t>
  </si>
  <si>
    <t>Publicita a informovanosť</t>
  </si>
  <si>
    <t xml:space="preserve">Projektové riadenie </t>
  </si>
  <si>
    <t>INDIKATÍVNY ROZPOČET SPOLU</t>
  </si>
  <si>
    <t>Rozdiel</t>
  </si>
  <si>
    <t>NPV</t>
  </si>
  <si>
    <t>HW (aj systémový SW) sumár obstaranie</t>
  </si>
  <si>
    <t>HW (aj systémový SW) sumár prevádzka</t>
  </si>
  <si>
    <t xml:space="preserve"> </t>
  </si>
  <si>
    <t>Modul 2</t>
  </si>
  <si>
    <t>Modul 3</t>
  </si>
  <si>
    <t>Modul 4</t>
  </si>
  <si>
    <t>Modul N</t>
  </si>
  <si>
    <t>organizácia A</t>
  </si>
  <si>
    <t>organizácia B</t>
  </si>
  <si>
    <t>organizácia C</t>
  </si>
  <si>
    <t>TO BE</t>
  </si>
  <si>
    <t>organizácia ...</t>
  </si>
  <si>
    <t>Výsledná hodnota</t>
  </si>
  <si>
    <t>Všetky prínosové položky sú automaticky vypočítané na základe údajov uvedených v záložkách TCO, spotrebované cloudové služby a Parametre - Agendové IS</t>
  </si>
  <si>
    <t>Všetky výdavkové položky sú automaticky vypočítané na základe údajov uvedených v záložkách TCO a Parametre - Agendové IS</t>
  </si>
  <si>
    <t>FIRR</t>
  </si>
  <si>
    <t>EIRR</t>
  </si>
  <si>
    <t>FNPV</t>
  </si>
  <si>
    <t>pomer prínosov a nákladov</t>
  </si>
  <si>
    <t>finančná vnútorná výnosová miera (%)</t>
  </si>
  <si>
    <t>ekonomická vnútorná výnosová miera (%)</t>
  </si>
  <si>
    <t>Minimálna hodnota</t>
  </si>
  <si>
    <t>-</t>
  </si>
  <si>
    <t>Výsledok CBA</t>
  </si>
  <si>
    <t>Priemerná mzda vo verejnej správe (aktuálna, W_ps)</t>
  </si>
  <si>
    <t xml:space="preserve">Priemerná mzda v NH (Cperc) </t>
  </si>
  <si>
    <t>Náklady IT systém</t>
  </si>
  <si>
    <t>FTE úradník</t>
  </si>
  <si>
    <t>FTE</t>
  </si>
  <si>
    <t>Administrtívny poplatok</t>
  </si>
  <si>
    <t>človeko-hod.</t>
  </si>
  <si>
    <t>Cena ušetreného času používateľa
(S pravidlom polovice)</t>
  </si>
  <si>
    <t>Cena ušetreného času úradníka</t>
  </si>
  <si>
    <r>
      <t xml:space="preserve">Materiálové náklady na 1 podanie </t>
    </r>
    <r>
      <rPr>
        <i/>
        <sz val="11"/>
        <color theme="1"/>
        <rFont val="Calibri"/>
        <family val="2"/>
        <charset val="238"/>
        <scheme val="minor"/>
      </rPr>
      <t xml:space="preserve">(napr. Poštovné (0,83 EUR)+Tlač (0,02 EUR)+Papier (0,01 EUR)+Obálka (0,03 EUR). Zhotoviteľ štúdie doplní skutočné náklady)
</t>
    </r>
  </si>
  <si>
    <t>Materiálové náklady</t>
  </si>
  <si>
    <t>Náklady na budúce riešenie</t>
  </si>
  <si>
    <t>Zníženie kvalitatívnych prínosov</t>
  </si>
  <si>
    <t>Zníženie očakávaného ušetreného času úradníka</t>
  </si>
  <si>
    <t>Zníženie očakávaného ušetreného času používateľa</t>
  </si>
  <si>
    <t>Zníženie počtu podaní v budúcom stave</t>
  </si>
  <si>
    <t>Zvýšenie nákladov - TCO celkovo</t>
  </si>
  <si>
    <t>Zvýšenie CAPEX</t>
  </si>
  <si>
    <t>Minimálny počet MD</t>
  </si>
  <si>
    <t>Maximálny počet MD</t>
  </si>
  <si>
    <t>Priemerný MD rate</t>
  </si>
  <si>
    <t xml:space="preserve">Modul 1 </t>
  </si>
  <si>
    <t>Maximálna suma</t>
  </si>
  <si>
    <t>Minimálna suma</t>
  </si>
  <si>
    <t>Vyplní oslovený dodávateľ</t>
  </si>
  <si>
    <t>Ročná prevádzka celého systému (SLA) vrátane zmenových konaní</t>
  </si>
  <si>
    <t>Vyplní spracovateľ projektu</t>
  </si>
  <si>
    <t>Výstup/funkcionalita projektu
(všetky náklady vrátane analýzy, dizajnu, testovania a nasadenia)</t>
  </si>
  <si>
    <t>Vysvetlenie rozptylu medzi minimálnou a maximálnou sumou 
(nepovinné)</t>
  </si>
  <si>
    <t>Rozdiel v nákladoch medzi existujúcim a navrhovaným riešením</t>
  </si>
  <si>
    <t>Prínosy</t>
  </si>
  <si>
    <t xml:space="preserve">Úradníci (€) </t>
  </si>
  <si>
    <t>Občania (€)</t>
  </si>
  <si>
    <t>Úradníci (FTE)</t>
  </si>
  <si>
    <t>IT - CAPEX</t>
  </si>
  <si>
    <t>IT - OPEX</t>
  </si>
  <si>
    <t>N/A</t>
  </si>
  <si>
    <t>Nevyčíslené spoločenské prínosy</t>
  </si>
  <si>
    <t>...</t>
  </si>
  <si>
    <t>(prosíme doplniť)...</t>
  </si>
  <si>
    <r>
      <t xml:space="preserve">Sem prosím vložte procesnú mapu stavu </t>
    </r>
    <r>
      <rPr>
        <b/>
        <sz val="11"/>
        <color theme="1"/>
        <rFont val="Calibri"/>
        <family val="2"/>
        <charset val="238"/>
        <scheme val="minor"/>
      </rPr>
      <t>AS IS</t>
    </r>
    <r>
      <rPr>
        <sz val="11"/>
        <color theme="1"/>
        <rFont val="Calibri"/>
        <family val="2"/>
        <charset val="238"/>
        <scheme val="minor"/>
      </rPr>
      <t xml:space="preserve"> a stavu </t>
    </r>
    <r>
      <rPr>
        <b/>
        <sz val="11"/>
        <color theme="1"/>
        <rFont val="Calibri"/>
        <family val="2"/>
        <charset val="238"/>
        <scheme val="minor"/>
      </rPr>
      <t>TO BE</t>
    </r>
  </si>
  <si>
    <t>napr.</t>
  </si>
  <si>
    <t>AS IS</t>
  </si>
  <si>
    <t>Procesy na strane úradníka (časové hodnoty)</t>
  </si>
  <si>
    <t>Proces č. 1</t>
  </si>
  <si>
    <t>Procesný krok č. 1</t>
  </si>
  <si>
    <t>Procesný krok č. 2</t>
  </si>
  <si>
    <t>Procesný krok č. 3</t>
  </si>
  <si>
    <t>Proces č. 2</t>
  </si>
  <si>
    <t>Zdroj</t>
  </si>
  <si>
    <t>prosím uveďte zdroj, v prípade vzorového prieskumu prosím vyplňte hodnoty za jednotlivé merania</t>
  </si>
  <si>
    <t>Meranie č. 1</t>
  </si>
  <si>
    <t>Meranie č. 2</t>
  </si>
  <si>
    <t>Meranie č. 3</t>
  </si>
  <si>
    <t>Meranie č. 4</t>
  </si>
  <si>
    <t>Meranie č. 5</t>
  </si>
  <si>
    <t>Meranie č. 6</t>
  </si>
  <si>
    <t>Meranie č. 7</t>
  </si>
  <si>
    <t>Meranie č. 8</t>
  </si>
  <si>
    <t>Meranie č. 9</t>
  </si>
  <si>
    <t>Meranie č. 10</t>
  </si>
  <si>
    <t>Meranie č. 11</t>
  </si>
  <si>
    <t>Meranie č. 12</t>
  </si>
  <si>
    <t>Meranie č. 13</t>
  </si>
  <si>
    <t>Meranie č. 14</t>
  </si>
  <si>
    <t>Meranie č. 15</t>
  </si>
  <si>
    <t>Meranie č. 16</t>
  </si>
  <si>
    <t>Meranie č. 17</t>
  </si>
  <si>
    <t>Meranie č. 18</t>
  </si>
  <si>
    <t>Meranie č. 19</t>
  </si>
  <si>
    <t>Meranie č. 20</t>
  </si>
  <si>
    <t>Meranie č. 21</t>
  </si>
  <si>
    <t>Meranie č. 22</t>
  </si>
  <si>
    <t>Meranie č. 23</t>
  </si>
  <si>
    <t>Meranie č. 24</t>
  </si>
  <si>
    <t>Meranie č. 25</t>
  </si>
  <si>
    <t>Meranie č. 26</t>
  </si>
  <si>
    <t>Meranie č. 27</t>
  </si>
  <si>
    <t>Meranie č. 28</t>
  </si>
  <si>
    <t>Meranie č. 29</t>
  </si>
  <si>
    <t>Meranie č. 30</t>
  </si>
  <si>
    <t>Procesy na strane občana (časové hodnoty)</t>
  </si>
  <si>
    <t>prosím doplňte časové trvanie aktivity (vložením "1")</t>
  </si>
  <si>
    <t>Zoznam hárkov s vysvetlením a pokynmi</t>
  </si>
  <si>
    <t>Sumarizácia</t>
  </si>
  <si>
    <t>CBA</t>
  </si>
  <si>
    <t>Analyza citlivosti</t>
  </si>
  <si>
    <t>Výdavky</t>
  </si>
  <si>
    <t>Parametre</t>
  </si>
  <si>
    <t>TCO</t>
  </si>
  <si>
    <t>TCO Alt. 1 - SW</t>
  </si>
  <si>
    <t>TCO Alt. 1 - HW</t>
  </si>
  <si>
    <t>TCO Alt. 2 - SW</t>
  </si>
  <si>
    <t>TCO Alt. 2 - HW</t>
  </si>
  <si>
    <t>Rozpočet - vývoj aplikácii</t>
  </si>
  <si>
    <t>Rozdiel
(voči min. riešenia navrhovaneho obstarávateĹom)</t>
  </si>
  <si>
    <t>Popis zmien v alternatívnom riešení
(nepovinné)</t>
  </si>
  <si>
    <t>Alternatívne riešeine
(nepovinné)</t>
  </si>
  <si>
    <t>Riešenie navrhované obstarávateľom</t>
  </si>
  <si>
    <t>Slepý rozpočet</t>
  </si>
  <si>
    <t>Faktory</t>
  </si>
  <si>
    <t>Meranie prínosov</t>
  </si>
  <si>
    <t>Procesné mapy</t>
  </si>
  <si>
    <t>Procesy AS IS</t>
  </si>
  <si>
    <t>Procesy TO BE</t>
  </si>
  <si>
    <t>Hárok</t>
  </si>
  <si>
    <t>Účel hárku</t>
  </si>
  <si>
    <t>Vymenovanie a popísanie nevyčíslených spoločenských prínosov</t>
  </si>
  <si>
    <t>Sumarizácia výsledkov CBA podľa prínosov a modulov</t>
  </si>
  <si>
    <t>Výsledky CBA na agregátnej úrovni, výpočet BCR</t>
  </si>
  <si>
    <t>Žiadne</t>
  </si>
  <si>
    <t>Vstupy od zhotoviteľa (žlté polia)</t>
  </si>
  <si>
    <t>Automatický výpočet citlivosti výsledkov CBA na zmeny parametrov</t>
  </si>
  <si>
    <t>Výpočet prínosov projektu na základe vstupných parametrov</t>
  </si>
  <si>
    <t>Výpočet výdavkov projektu na základe vstupných parametrov</t>
  </si>
  <si>
    <t>Polia "Ostatné daňové a nedaňové príjmy" (ak projekt také generuje)</t>
  </si>
  <si>
    <t>Vstupné parametre pre jednotlivé moduly/životné situácie: počty podaní, trvania času</t>
  </si>
  <si>
    <t>Všetky relevantné žlté polia</t>
  </si>
  <si>
    <t>Zhrnutie celkových nákladov na vlastníctvo oboch alternatív projektu</t>
  </si>
  <si>
    <t xml:space="preserve">Náklady na vlastníctvo softvéru alternatívy 1 (AS IS) </t>
  </si>
  <si>
    <t xml:space="preserve">Náklady na vlastníctvo hardvéru alternatívy 1 (AS IS) </t>
  </si>
  <si>
    <t xml:space="preserve">Náklady na vlastníctvo softvéru alternatívy 2 (TO BE) </t>
  </si>
  <si>
    <t>Náklady na vlastníctvo hardvéru alternatívy 2 (TO BE)</t>
  </si>
  <si>
    <t>Všetky relevantné žlté polia a časové trvanie projektu</t>
  </si>
  <si>
    <t>Vyplnia dodávateľia, oslovení v procese trhovej konzultácie</t>
  </si>
  <si>
    <t>Zoznam modulov s ich opisom a harmonogramom</t>
  </si>
  <si>
    <t>Spoločné vstupné parametre pre ocenenie prínosov a výpočet CBA</t>
  </si>
  <si>
    <t>Aktuálne priemerné mzdy v hospodárstve podľa ŠÚ SR, rok začiatku projektu</t>
  </si>
  <si>
    <t xml:space="preserve">Slúži na rozdelenie prínosov podľa jednotlivých úradov (ak je to možné) 
a na ex-post monitorovanie dosahovania prínosov. </t>
  </si>
  <si>
    <t xml:space="preserve">V procese prípravy štúdie vyplní iba žlté stĺpce označené ako "Alt. 2", ktoré rozdeľujú prínosy podľa úradov </t>
  </si>
  <si>
    <t>Procesné mapy súčasného a budúceho stavu biznis procesov.</t>
  </si>
  <si>
    <t>Procesné mapy ako obrázky.</t>
  </si>
  <si>
    <t xml:space="preserve">Zdroj dát pre odhad časovej náročnosti súčasných procesov. </t>
  </si>
  <si>
    <t xml:space="preserve">Zdroj dát pre odhad časovej náročnosti budúcich procesov. </t>
  </si>
  <si>
    <t>Relevantné merania podľa procesov a procesných krokov.</t>
  </si>
  <si>
    <t>Riadenie projektu</t>
  </si>
  <si>
    <t>Riadenie a publicita</t>
  </si>
  <si>
    <t>Projektové riadenie</t>
  </si>
  <si>
    <t>Počet podaní / volaní</t>
  </si>
  <si>
    <t>Priemerná mesačná hrubá mzda vo verejnej správe za 1. - 4. Q./2017 (obdobie aktualizovať k času predloženia dokumentu), podľa ŠÚ SR</t>
  </si>
  <si>
    <t>Priemerná mesačná hrubá mzda v národnom hospodárstve SR za 1. - 4. Q./2017 (obdobie aktualizovať k času predloženia dokumentu), podľa ŠÚ SR</t>
  </si>
  <si>
    <t>Fond pracovnej doby - VS (FPDvs)</t>
  </si>
  <si>
    <t>hod/rok</t>
  </si>
  <si>
    <t>Fond pracovnej doby - NH (FPDnh)</t>
  </si>
  <si>
    <t xml:space="preserve">Cper = (W_ps * Odvody) / Fond pracovnej doby. Odvody (SP, ZP, DP) sú 35,2%“. Osobné náklady sú faktorom prevádzkových variabilných nákladov.
</t>
  </si>
  <si>
    <t>Rok 2019 má dokopy 250 pracovných dní, t.j. 2000 pracovných hodín. S platenými sviatkami má rok 261 pracovných dní, t.j. 2088 pracovných hodín.. 8 hodinový pracovný čas (obdobie aktualizovať k času predloženia dokumentu), podľa https://calendar.zoznam.sk/worktime-sksk.php?hy=2019</t>
  </si>
  <si>
    <t>Rok 2019 má dokopy 250 pracovných dní, t.j. 1875 pracovných hodín. S platenými sviatkami má rok 261 pracovných dní, t.j. 1957.5 pracovných hodín. 7,5 hodinový pracovný čas (obdobie aktualizovať k času predloženia dokumentu), podľa https://calendar.zoznam.sk/worktime-sksk.php?hy=2019</t>
  </si>
  <si>
    <t>Položka</t>
  </si>
  <si>
    <t>Merná jednotka</t>
  </si>
  <si>
    <t>Počet</t>
  </si>
  <si>
    <t>Jednotková cena (eur)</t>
  </si>
  <si>
    <t>Celková suma (eur)</t>
  </si>
  <si>
    <t>Zdroj ceny</t>
  </si>
  <si>
    <t>ks</t>
  </si>
  <si>
    <t>Rozpočet - HW a licencie</t>
  </si>
  <si>
    <t>Detailný rozpočet pre vývoj navrhovaného riešenia (TO BE)</t>
  </si>
  <si>
    <t>Položkový rozpočet pre nákup licencií a HW (TO BE)</t>
  </si>
  <si>
    <t>Nákup krabicového SW</t>
  </si>
  <si>
    <t>Dodatočná úprava krabicového SW / Vývoj riešenia</t>
  </si>
  <si>
    <t>Názov SW</t>
  </si>
  <si>
    <t>počet kusov</t>
  </si>
  <si>
    <t>Cena za kus</t>
  </si>
  <si>
    <t>Cena spolu</t>
  </si>
  <si>
    <t>637003/637004</t>
  </si>
  <si>
    <t>Výstupné náklady</t>
  </si>
  <si>
    <t>Zmluvné poplaky</t>
  </si>
  <si>
    <t>Technologické požiadavky</t>
  </si>
  <si>
    <t>SW a Aplikácie - výstupné náklady</t>
  </si>
  <si>
    <t>SW a Aplikácie - Výstupné náklady</t>
  </si>
  <si>
    <t>Popis
(Vrátane zdôvodnenia zvoleného technologického variantu - IaaS, PaaS, vývoj vlastnej aplikácie, COTS riešenie)</t>
  </si>
  <si>
    <t>Koncová služba</t>
  </si>
  <si>
    <t>Koncová služba N</t>
  </si>
  <si>
    <t>TO BE - AS IS (€, NPV)</t>
  </si>
  <si>
    <t>TO BE - AS IS (€, SUM)</t>
  </si>
  <si>
    <t>Kontrola TO BE</t>
  </si>
  <si>
    <t>Finančný cashflow (s DPH)</t>
  </si>
  <si>
    <t>Ekonomický cashflow (bez DPH)</t>
  </si>
  <si>
    <t>Náklady s DPH</t>
  </si>
  <si>
    <t>ekonomická čistá súčasná hodnota (eur bez DPH)</t>
  </si>
  <si>
    <t>finančná čistá súčasná hodnota (eur s DPH)</t>
  </si>
  <si>
    <t>Vyplnenie požadovaných výkonnostných ukazovateľov a cieľov</t>
  </si>
  <si>
    <t>Poskytovanie sumárneho prehľadu o plnení výkonnostných ukazovateľov a cieľov</t>
  </si>
  <si>
    <t>Poskytovanie analytických metód nad vykázanými výkonnostnými ukazovateľmi a cieľmi</t>
  </si>
  <si>
    <t>Modul DMS a formulárových technológií</t>
  </si>
  <si>
    <t>Modul analytických nástrojov</t>
  </si>
  <si>
    <t>Modul pre získavanie a prenos dát</t>
  </si>
  <si>
    <t>Portálové riešenie</t>
  </si>
  <si>
    <t>Modul robotického spracovania vstupných dát</t>
  </si>
  <si>
    <t>Modul workflow</t>
  </si>
  <si>
    <t>Analýza a špecifikácia požiadaviek pre modul pre získavanie a prenos dát (IT Architekt 1, Projektový manažér IT projektu 1, IT Analytik 2, Špecialista pre bezpečnosť IT 1, Špecialista pre databázy 1, Interný pracovník 1)</t>
  </si>
  <si>
    <t>Návrh procesov a služieb MIS a vypracovanie DFŠ pre modul workflow (IT Architekt 1, IT Tester 1, Projektový manažér IT projektu 1, IT Analytik 2, Odborník pre IT dohľad 1, Špecialista pre bezpečnosť IT 1, Špecialista pre infraštruktúry 1, Špecialista pre databázy 1, Interný pracovník 1)</t>
  </si>
  <si>
    <t>M23</t>
  </si>
  <si>
    <t>M25</t>
  </si>
  <si>
    <t>M26</t>
  </si>
  <si>
    <t>M27</t>
  </si>
  <si>
    <t>M28</t>
  </si>
  <si>
    <t>M29</t>
  </si>
  <si>
    <t>M30</t>
  </si>
  <si>
    <t>M31</t>
  </si>
  <si>
    <t>M32</t>
  </si>
  <si>
    <t>M33</t>
  </si>
  <si>
    <t>M34</t>
  </si>
  <si>
    <t>M35</t>
  </si>
  <si>
    <t>M36</t>
  </si>
  <si>
    <t>M37</t>
  </si>
  <si>
    <t>M38</t>
  </si>
  <si>
    <t>M39</t>
  </si>
  <si>
    <t>M40</t>
  </si>
  <si>
    <t>M41</t>
  </si>
  <si>
    <t>M42</t>
  </si>
  <si>
    <t>M43</t>
  </si>
  <si>
    <t>M44</t>
  </si>
  <si>
    <t>M45</t>
  </si>
  <si>
    <t>M46</t>
  </si>
  <si>
    <t>M47</t>
  </si>
  <si>
    <t>M48</t>
  </si>
  <si>
    <t>Modul worklow</t>
  </si>
  <si>
    <t>Expertný odhad podľa trhového štandardu</t>
  </si>
  <si>
    <t>Licencia pre nástroj na robotické spracovanie vstupných údajov</t>
  </si>
  <si>
    <t>Oracle Database Enterprise Edition</t>
  </si>
  <si>
    <t>Oracle Business Intelligence Suite Extended Edition</t>
  </si>
  <si>
    <t>Oracle Linux Premier Limited - Support</t>
  </si>
  <si>
    <t>Oracle VM Premier Limited - Support</t>
  </si>
  <si>
    <t>NUP</t>
  </si>
  <si>
    <t>System</t>
  </si>
  <si>
    <t>Data Integratort: 2x server (2X Intel® Xeon® Gold 6130 16-core, 256GB RAM, 2x 240GB SSD SATA), 1x diskove ulozisko (16Gb FC 4 Port and 10GB iSCSI SFP+ 4 Port Dual Controller, 16x 1.8TB HDD 10K 512e SAS12, 8x 1.92TB SSD SAS Read Intensive 12Gbps 512e, Power Supply 580W Redundant)</t>
  </si>
  <si>
    <t>M49</t>
  </si>
  <si>
    <t>M50</t>
  </si>
  <si>
    <t>M51</t>
  </si>
  <si>
    <t>M52</t>
  </si>
  <si>
    <t>M53</t>
  </si>
  <si>
    <t>M54</t>
  </si>
  <si>
    <t>M55</t>
  </si>
  <si>
    <t>M56</t>
  </si>
  <si>
    <t>M57</t>
  </si>
  <si>
    <t>M58</t>
  </si>
  <si>
    <t>M59</t>
  </si>
  <si>
    <t>M60</t>
  </si>
  <si>
    <t>Aktivita</t>
  </si>
  <si>
    <t>A1: Analýza prípadov použitia</t>
  </si>
  <si>
    <t>A2: Zabezpečenie zdrojov dát</t>
  </si>
  <si>
    <t>A3: Nastavenie funkcionalít</t>
  </si>
  <si>
    <t>A4: Realizácia dátového modelu a spracovanie analýzy</t>
  </si>
  <si>
    <t>A5: Publikovanie výstupov, analytických produktov a otvorených údajov</t>
  </si>
  <si>
    <t>A6: Zavedenie zmien do praxe</t>
  </si>
  <si>
    <t>Celkom</t>
  </si>
  <si>
    <t>Prediktívne kontroly</t>
  </si>
  <si>
    <t>ANO</t>
  </si>
  <si>
    <t>ID</t>
  </si>
  <si>
    <t>Výsledok</t>
  </si>
  <si>
    <t>Finančný limit (% z celkovej výšky &lt;=)</t>
  </si>
  <si>
    <t>Podmienka splnená?</t>
  </si>
  <si>
    <t>A1</t>
  </si>
  <si>
    <t>Analýza prípadov použitia</t>
  </si>
  <si>
    <t>A2</t>
  </si>
  <si>
    <t>Zabezpečenie zdrojov dát</t>
  </si>
  <si>
    <t>A3</t>
  </si>
  <si>
    <t>Nastavenie funkcionalít</t>
  </si>
  <si>
    <t>A4</t>
  </si>
  <si>
    <t>Realizácia dátového modelu</t>
  </si>
  <si>
    <t>A5</t>
  </si>
  <si>
    <t>Zavedenie zmien do praxe</t>
  </si>
  <si>
    <t>A6</t>
  </si>
  <si>
    <t>Publikovanie výstupov, analytických produktov a otvorených údajov</t>
  </si>
  <si>
    <t>Typ projektu</t>
  </si>
  <si>
    <t>Finančný limit</t>
  </si>
  <si>
    <t>Rozpočet projektu</t>
  </si>
  <si>
    <t>Splnený limit?</t>
  </si>
  <si>
    <t>n/a</t>
  </si>
  <si>
    <t>Zohľadnené položky rozpočtu</t>
  </si>
  <si>
    <t>Publicita</t>
  </si>
  <si>
    <r>
      <t xml:space="preserve">Suma 
</t>
    </r>
    <r>
      <rPr>
        <sz val="10"/>
        <color theme="0"/>
        <rFont val="Arial Narrow"/>
        <family val="2"/>
      </rPr>
      <t>(bez Proj. riadenia)</t>
    </r>
  </si>
  <si>
    <t>Suma</t>
  </si>
  <si>
    <t>Prevádzka a rozvoj na 32 mesiacov</t>
  </si>
  <si>
    <r>
      <t xml:space="preserve">Počet podaní / volaní </t>
    </r>
    <r>
      <rPr>
        <sz val="11"/>
        <color theme="1"/>
        <rFont val="Calibri"/>
        <family val="2"/>
        <scheme val="minor"/>
      </rPr>
      <t xml:space="preserve">- počet reportov generovaných zo strany 7 podriadených organizácií / počet reportov konsolidovaných a sumarizovaných na strane MDaV SR / počet analyzovaných a intepretovaných reportov </t>
    </r>
  </si>
  <si>
    <t>Integrácie a import</t>
  </si>
  <si>
    <t>Integrácia a import</t>
  </si>
  <si>
    <t>Oracle Enterprise Edition Options - Real Application Cluster</t>
  </si>
  <si>
    <t>Oracle Enterprise Edition Options - Active Data Guard</t>
  </si>
  <si>
    <t>Oracle Enterprise Edition Options - Partitioning</t>
  </si>
  <si>
    <t>Oracle Enterprise Edition Options - Advanced Security</t>
  </si>
  <si>
    <t>Oracle Enterprise Edition Options - Label Security</t>
  </si>
  <si>
    <t xml:space="preserve">Oracle Enterprise Edition Options - Database Vault </t>
  </si>
  <si>
    <t>Oracle Database Enterprise Management - Diagnostics Pack</t>
  </si>
  <si>
    <t>Oracle Database Enterprise Management - Tuning Pack</t>
  </si>
  <si>
    <t>Oracle Application Server Products - WebLogic Suite</t>
  </si>
  <si>
    <t>Oracle CMS EE</t>
  </si>
  <si>
    <t>Oracle DMS EE</t>
  </si>
  <si>
    <t>Oracle Database Enterprise Management- Database Lifecycle Management</t>
  </si>
  <si>
    <t>Analýza a špecifikácia požiadaviek pre každý modul</t>
  </si>
  <si>
    <t>Vypracovanie dokumentácie pre každý modul</t>
  </si>
  <si>
    <t>Školenia</t>
  </si>
  <si>
    <t>Náklad v rozpočte</t>
  </si>
  <si>
    <t>Reálny podiel v %</t>
  </si>
  <si>
    <t>Integrácia modulov+podpora OpenData+príprava importu dát</t>
  </si>
  <si>
    <t>Testovanie a nasadenie každého modulu+zaobstaranie HW</t>
  </si>
  <si>
    <t>Návrh služieb a implementácia funkcionalít pre každý modul+zaobstaranie SW</t>
  </si>
  <si>
    <t>Čas potrebný na vypracovanie a doručenie podania (ušetrený čas používateľa)</t>
  </si>
  <si>
    <t>Analýza a špecifikácia požiadaviek pre modul DMS a formulárové technológie</t>
  </si>
  <si>
    <t>Návrh procesov a služieb MIS a vypracovanie DFŠ pre modul DMS a formulárové technológie</t>
  </si>
  <si>
    <t>Implementácia funkcionalít modulu DMS a formulárových technológií</t>
  </si>
  <si>
    <t>Vypracovanie dokumentácie pre modul DMS a formulárové technológie</t>
  </si>
  <si>
    <t>Testovanie modulu DMS a formulárových technológií</t>
  </si>
  <si>
    <t>Nasadenie modulu DMS a formulárových technológií</t>
  </si>
  <si>
    <t>Analýza a špecifikácia požiadaviek pre modul workflow</t>
  </si>
  <si>
    <t>Implementácia funkcionalít modulu workflow</t>
  </si>
  <si>
    <t>Vypracovanie dokumentácie pre modul workflow</t>
  </si>
  <si>
    <t>Testovanie modulu workflow</t>
  </si>
  <si>
    <t>Nasadenie modulu workflow</t>
  </si>
  <si>
    <t>Analýza a špecifikácia požiadaviek pre modul analytických nástrojov</t>
  </si>
  <si>
    <t>Návrh procesov a služieb MIS a vypracovanie DFŠ pre modul analytických nástrojov</t>
  </si>
  <si>
    <t>Implementácia funkcionalít modulu analytických nástrojov</t>
  </si>
  <si>
    <t>Implementácia funkcionalít dátového úložiska</t>
  </si>
  <si>
    <t>Vypracovanie dokumentácie pre modul analytických nástrojov</t>
  </si>
  <si>
    <t>Testovanie modulu analytických nástrojov</t>
  </si>
  <si>
    <t>Nasadenie modulu analytických nástrojov</t>
  </si>
  <si>
    <t>Návrh procesov a služieb MIS a vypracovanie DFŠ pre modul pre získavanie a prenos dát</t>
  </si>
  <si>
    <t>Implementácia funkcionalít modulu pre získavanie a prenos dát</t>
  </si>
  <si>
    <t>Implementácia podpory integrácie interných systémov</t>
  </si>
  <si>
    <t>Vypracovanie dokumentácie pre modul pre získavanie a prenos dát</t>
  </si>
  <si>
    <t>Testovanie modulu pre získavanie a prenos dát</t>
  </si>
  <si>
    <t>Nasadenie modulu pre získavanie a prenos dát</t>
  </si>
  <si>
    <t>Analýza a špecifikácia požiadaviek pre portálové riešenie</t>
  </si>
  <si>
    <t>Návrh procesov a služieb MIS a vypracovanie DFŠ pre portálové riešenie</t>
  </si>
  <si>
    <t>Implementácia funkcionalít portálového riešenia</t>
  </si>
  <si>
    <t>Vypracovanie dokumentácie pre portálové riešenie</t>
  </si>
  <si>
    <t>Testovanie portálového riešenia</t>
  </si>
  <si>
    <t>Nasadenie portálového riešenia</t>
  </si>
  <si>
    <t>Analýza a špecifikácia požiadaviek pre modul robotického spracovania dát</t>
  </si>
  <si>
    <t>Návrh procesov a služieb MIS a vypracovanie DFŠ pre modul robotického spracovania dát</t>
  </si>
  <si>
    <t>Implementácia funkcionalít modulu robotického spracovania dát</t>
  </si>
  <si>
    <t>Vypracovanie dokumentácie pre modul robotického spracovania údajov</t>
  </si>
  <si>
    <t>Testovanie modulu robotického spracovania dát</t>
  </si>
  <si>
    <t>Nasadenie modulu robotického spracovania dát</t>
  </si>
  <si>
    <t>Analýza a špecifikácia požiadaviek pre integráciu komponentov MIS</t>
  </si>
  <si>
    <t>Návrh procesov a služieb MIS a vypracovanie DFŠ pre integračné služby</t>
  </si>
  <si>
    <t>Implementácia interných integračných rozhraní MIS a podpory publikovania OpenData</t>
  </si>
  <si>
    <t>Finálne pripájanie integrovaných modulov MIS</t>
  </si>
  <si>
    <t>Príprava a import dát do prostredí</t>
  </si>
  <si>
    <t>Finalizácia dokumentácie riešenia MIS</t>
  </si>
  <si>
    <t>Nasadenie riešení na testovanie a testovanie integrácie a komponentov MIS</t>
  </si>
  <si>
    <t>Nasadenie riešení a komponentov MIS (PROD) a príprava na prevádzku</t>
  </si>
  <si>
    <t>Podpora prevádzky</t>
  </si>
  <si>
    <t>Vyplnenie požadovaných výkonnostných ukazovateľov a cieľov - 5 pracovných dní</t>
  </si>
  <si>
    <t>Poskytovanie sumárneho prehľadu o plnení výkonnostných ukazovateľov a cieľov - 8 pracovných dní</t>
  </si>
  <si>
    <t>Poskytovanie analytických metód nad vykázanými výkonnostnými ukazovateľmi a cieľmi - 4 pracovné dni</t>
  </si>
  <si>
    <t>Vyplnenie požadovaných výkonnostných ukazovateľov a cieľov - 0,5 hod</t>
  </si>
  <si>
    <t>Poskytovanie sumárneho prehľadu o plnení výkonnostných ukazovateľov a cieľov - 0,5 hod</t>
  </si>
  <si>
    <t>Poskytovanie analytických metód nad vykázanými výkonnostnými ukazovateľmi a cieľmi - 0,5 hod</t>
  </si>
  <si>
    <t>Suma dotácií zo strany MDV SR so zohľadnením vybraných podriadených organizácií za rok 2018.</t>
  </si>
  <si>
    <t>Dotácie za rok 2018</t>
  </si>
  <si>
    <t>Odhadovný ekonomický prínos v dôsledku skvalitnenia služieb podriadených organizácií</t>
  </si>
  <si>
    <t>Percentuálna miera 5% predpokladajúca vynaloženie príslušnej časť FI prostriedkov z pridelených dotácií na skvalitnenie ich služieb v dôsledku lepšej kontroly riadenia ukazovateľov výkonnosti a plnenia cieľov.</t>
  </si>
  <si>
    <t>Trvanie spracovania podania (ušetrený čas úradníka)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</si>
</sst>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quot;€&quot;_-;\-* #,##0.00\ &quot;€&quot;_-;_-* &quot;-&quot;??\ &quot;€&quot;_-;_-@_-"/>
    <numFmt numFmtId="165" formatCode="_-* #,##0.00\ _€_-;\-* #,##0.00\ _€_-;_-* &quot;-&quot;??\ _€_-;_-@_-"/>
    <numFmt numFmtId="166" formatCode="_-* #,##0\ _€_-;\-* #,##0\ _€_-;_-* &quot;-&quot;??\ _€_-;_-@_-"/>
    <numFmt numFmtId="167" formatCode="0.0%"/>
    <numFmt numFmtId="168" formatCode="#,##0_ ;\-#,##0;\-;@"/>
    <numFmt numFmtId="169" formatCode="0.00;\-0.00;\-;@"/>
    <numFmt numFmtId="170" formatCode="#,##0\ &quot;€&quot;"/>
    <numFmt numFmtId="171" formatCode="#,##0.00\ [$€-41B]"/>
  </numFmts>
  <fonts count="85" x14ac:knownFonts="1">
    <font>
      <sz val="11"/>
      <color theme="1"/>
      <name val="Calibri"/>
      <family val="2"/>
      <charset val="238"/>
      <scheme val="minor"/>
    </font>
    <font>
      <sz val="11"/>
      <color theme="1"/>
      <name val="Calibri"/>
      <family val="2"/>
      <scheme val="minor"/>
    </font>
    <font>
      <sz val="11"/>
      <color theme="1"/>
      <name val="Arial Narrow"/>
      <family val="2"/>
      <charset val="238"/>
    </font>
    <font>
      <sz val="11"/>
      <color theme="1"/>
      <name val="Calibri"/>
      <family val="2"/>
      <charset val="238"/>
      <scheme val="minor"/>
    </font>
    <font>
      <b/>
      <sz val="11"/>
      <name val="Arial Narrow"/>
      <family val="2"/>
      <charset val="238"/>
    </font>
    <font>
      <sz val="11"/>
      <name val="Calibri"/>
      <family val="2"/>
      <charset val="238"/>
      <scheme val="minor"/>
    </font>
    <font>
      <sz val="11"/>
      <name val="Arial Narrow"/>
      <family val="2"/>
      <charset val="238"/>
    </font>
    <font>
      <sz val="11"/>
      <color rgb="FF006100"/>
      <name val="Calibri"/>
      <family val="2"/>
      <charset val="238"/>
      <scheme val="minor"/>
    </font>
    <font>
      <b/>
      <sz val="11"/>
      <color rgb="FFFA7D00"/>
      <name val="Calibri"/>
      <family val="2"/>
      <charset val="238"/>
      <scheme val="minor"/>
    </font>
    <font>
      <b/>
      <sz val="11"/>
      <color theme="1"/>
      <name val="Calibri"/>
      <family val="2"/>
      <charset val="238"/>
      <scheme val="minor"/>
    </font>
    <font>
      <b/>
      <sz val="10"/>
      <name val="Arial"/>
      <family val="2"/>
      <charset val="238"/>
    </font>
    <font>
      <sz val="10"/>
      <name val="Arial"/>
      <family val="2"/>
      <charset val="238"/>
    </font>
    <font>
      <i/>
      <sz val="10"/>
      <name val="Arial"/>
      <family val="2"/>
      <charset val="238"/>
    </font>
    <font>
      <b/>
      <i/>
      <sz val="10"/>
      <name val="Arial"/>
      <family val="2"/>
      <charset val="238"/>
    </font>
    <font>
      <sz val="8"/>
      <color indexed="81"/>
      <name val="Tahoma"/>
      <family val="2"/>
      <charset val="238"/>
    </font>
    <font>
      <sz val="10"/>
      <color indexed="18"/>
      <name val="Arial"/>
      <family val="2"/>
      <charset val="238"/>
    </font>
    <font>
      <sz val="11"/>
      <color theme="1"/>
      <name val="Calibri"/>
      <family val="2"/>
      <charset val="238"/>
    </font>
    <font>
      <b/>
      <sz val="24"/>
      <color rgb="FF000000"/>
      <name val="Calibri"/>
      <family val="2"/>
      <charset val="238"/>
    </font>
    <font>
      <b/>
      <sz val="11"/>
      <color rgb="FF000000"/>
      <name val="Arial Narrow"/>
      <family val="2"/>
      <charset val="238"/>
    </font>
    <font>
      <b/>
      <sz val="11"/>
      <color rgb="FFFF0000"/>
      <name val="Arial Narrow"/>
      <family val="2"/>
      <charset val="238"/>
    </font>
    <font>
      <i/>
      <sz val="11"/>
      <color rgb="FF000000"/>
      <name val="Arial Narrow"/>
      <family val="2"/>
      <charset val="238"/>
    </font>
    <font>
      <b/>
      <sz val="9"/>
      <color rgb="FF000000"/>
      <name val="Arial Narrow"/>
      <family val="2"/>
      <charset val="238"/>
    </font>
    <font>
      <i/>
      <sz val="9"/>
      <color rgb="FF000000"/>
      <name val="Arial Narrow"/>
      <family val="2"/>
      <charset val="238"/>
    </font>
    <font>
      <i/>
      <sz val="8"/>
      <color rgb="FF000000"/>
      <name val="Arial Narrow"/>
      <family val="2"/>
      <charset val="238"/>
    </font>
    <font>
      <b/>
      <sz val="8"/>
      <color rgb="FFFA7D00"/>
      <name val="Calibri"/>
      <family val="2"/>
      <charset val="238"/>
      <scheme val="minor"/>
    </font>
    <font>
      <sz val="9"/>
      <color rgb="FF006100"/>
      <name val="Calibri"/>
      <family val="2"/>
      <charset val="238"/>
      <scheme val="minor"/>
    </font>
    <font>
      <b/>
      <sz val="14"/>
      <color theme="1"/>
      <name val="Calibri"/>
      <family val="2"/>
      <charset val="238"/>
    </font>
    <font>
      <sz val="12"/>
      <color theme="1"/>
      <name val="Calibri"/>
      <family val="2"/>
      <charset val="238"/>
      <scheme val="minor"/>
    </font>
    <font>
      <b/>
      <i/>
      <sz val="11"/>
      <color theme="1"/>
      <name val="Calibri"/>
      <family val="2"/>
      <charset val="238"/>
      <scheme val="minor"/>
    </font>
    <font>
      <b/>
      <sz val="16"/>
      <color theme="1"/>
      <name val="Calibri"/>
      <family val="2"/>
      <charset val="238"/>
      <scheme val="minor"/>
    </font>
    <font>
      <b/>
      <sz val="14"/>
      <color theme="1"/>
      <name val="Arial"/>
      <family val="2"/>
      <charset val="238"/>
    </font>
    <font>
      <b/>
      <sz val="12"/>
      <color theme="1"/>
      <name val="Arial"/>
      <family val="2"/>
      <charset val="238"/>
    </font>
    <font>
      <sz val="11"/>
      <color theme="1"/>
      <name val="Arial"/>
      <family val="2"/>
      <charset val="238"/>
    </font>
    <font>
      <b/>
      <sz val="11"/>
      <color theme="1"/>
      <name val="Arial"/>
      <family val="2"/>
      <charset val="238"/>
    </font>
    <font>
      <i/>
      <sz val="11"/>
      <color theme="1"/>
      <name val="Calibri"/>
      <family val="2"/>
      <charset val="238"/>
      <scheme val="minor"/>
    </font>
    <font>
      <b/>
      <sz val="12"/>
      <color theme="1"/>
      <name val="Calibri"/>
      <family val="2"/>
      <charset val="238"/>
      <scheme val="minor"/>
    </font>
    <font>
      <sz val="9"/>
      <color theme="1"/>
      <name val="Calibri"/>
      <family val="2"/>
      <charset val="238"/>
      <scheme val="minor"/>
    </font>
    <font>
      <sz val="9"/>
      <color theme="0"/>
      <name val="Calibri"/>
      <family val="2"/>
      <charset val="238"/>
      <scheme val="minor"/>
    </font>
    <font>
      <sz val="9"/>
      <name val="Calibri"/>
      <family val="2"/>
      <charset val="238"/>
      <scheme val="minor"/>
    </font>
    <font>
      <b/>
      <sz val="9"/>
      <color theme="1"/>
      <name val="Calibri"/>
      <family val="2"/>
      <charset val="238"/>
      <scheme val="minor"/>
    </font>
    <font>
      <sz val="10"/>
      <color theme="1"/>
      <name val="Arial Narrow"/>
      <family val="2"/>
      <charset val="238"/>
    </font>
    <font>
      <sz val="10"/>
      <color rgb="FF000000"/>
      <name val="Arial Narrow"/>
      <family val="2"/>
      <charset val="238"/>
    </font>
    <font>
      <b/>
      <sz val="9"/>
      <color theme="0"/>
      <name val="Calibri"/>
      <family val="2"/>
      <charset val="238"/>
      <scheme val="minor"/>
    </font>
    <font>
      <b/>
      <sz val="12"/>
      <color theme="1"/>
      <name val="Times New Roman"/>
      <family val="1"/>
      <charset val="238"/>
    </font>
    <font>
      <sz val="9"/>
      <color theme="2" tint="-0.249977111117893"/>
      <name val="Calibri"/>
      <family val="2"/>
      <charset val="238"/>
      <scheme val="minor"/>
    </font>
    <font>
      <sz val="9"/>
      <name val="Arial"/>
      <family val="2"/>
      <charset val="238"/>
    </font>
    <font>
      <sz val="9"/>
      <color rgb="FFFA7D00"/>
      <name val="Calibri"/>
      <family val="2"/>
      <charset val="238"/>
      <scheme val="minor"/>
    </font>
    <font>
      <sz val="8"/>
      <color rgb="FFFA7D00"/>
      <name val="Calibri"/>
      <family val="2"/>
      <charset val="238"/>
      <scheme val="minor"/>
    </font>
    <font>
      <b/>
      <i/>
      <sz val="10"/>
      <color theme="1"/>
      <name val="Calibri"/>
      <family val="2"/>
      <charset val="238"/>
      <scheme val="minor"/>
    </font>
    <font>
      <b/>
      <sz val="11"/>
      <color theme="0" tint="-0.499984740745262"/>
      <name val="Calibri"/>
      <family val="2"/>
      <charset val="238"/>
      <scheme val="minor"/>
    </font>
    <font>
      <sz val="9"/>
      <color theme="0" tint="-0.499984740745262"/>
      <name val="Calibri"/>
      <family val="2"/>
      <charset val="238"/>
      <scheme val="minor"/>
    </font>
    <font>
      <sz val="11"/>
      <color theme="0" tint="-0.499984740745262"/>
      <name val="Calibri"/>
      <family val="2"/>
      <charset val="238"/>
      <scheme val="minor"/>
    </font>
    <font>
      <sz val="11"/>
      <color rgb="FF006100"/>
      <name val="Arial Narrow"/>
      <family val="2"/>
      <charset val="238"/>
    </font>
    <font>
      <sz val="9"/>
      <color indexed="81"/>
      <name val="Segoe UI"/>
      <family val="2"/>
      <charset val="238"/>
    </font>
    <font>
      <b/>
      <sz val="9"/>
      <color indexed="81"/>
      <name val="Segoe UI"/>
      <family val="2"/>
      <charset val="238"/>
    </font>
    <font>
      <sz val="16"/>
      <color theme="1"/>
      <name val="Calibri"/>
      <family val="2"/>
      <charset val="238"/>
      <scheme val="minor"/>
    </font>
    <font>
      <sz val="11"/>
      <color theme="0"/>
      <name val="Calibri"/>
      <family val="2"/>
      <charset val="238"/>
      <scheme val="minor"/>
    </font>
    <font>
      <sz val="11"/>
      <color rgb="FFFF0000"/>
      <name val="Calibri"/>
      <family val="2"/>
      <charset val="238"/>
      <scheme val="minor"/>
    </font>
    <font>
      <sz val="10"/>
      <color theme="5" tint="-0.249977111117893"/>
      <name val="Arial"/>
      <family val="2"/>
      <charset val="238"/>
    </font>
    <font>
      <sz val="11"/>
      <color theme="5" tint="-0.249977111117893"/>
      <name val="Calibri"/>
      <family val="2"/>
      <charset val="238"/>
      <scheme val="minor"/>
    </font>
    <font>
      <b/>
      <sz val="14"/>
      <color theme="1"/>
      <name val="Calibri"/>
      <family val="2"/>
      <charset val="238"/>
      <scheme val="minor"/>
    </font>
    <font>
      <sz val="8"/>
      <color theme="0"/>
      <name val="Calibri"/>
      <family val="2"/>
      <charset val="238"/>
      <scheme val="minor"/>
    </font>
    <font>
      <u/>
      <sz val="11"/>
      <color theme="10"/>
      <name val="Calibri"/>
      <family val="2"/>
      <charset val="238"/>
      <scheme val="minor"/>
    </font>
    <font>
      <b/>
      <u/>
      <sz val="11"/>
      <color theme="5"/>
      <name val="Calibri"/>
      <family val="2"/>
      <charset val="238"/>
      <scheme val="minor"/>
    </font>
    <font>
      <b/>
      <sz val="11"/>
      <name val="Calibri"/>
      <family val="2"/>
      <charset val="238"/>
      <scheme val="minor"/>
    </font>
    <font>
      <i/>
      <sz val="11"/>
      <color theme="5" tint="-0.249977111117893"/>
      <name val="Calibri"/>
      <family val="2"/>
      <charset val="238"/>
      <scheme val="minor"/>
    </font>
    <font>
      <b/>
      <sz val="11"/>
      <color theme="5" tint="-0.249977111117893"/>
      <name val="Calibri"/>
      <family val="2"/>
      <charset val="238"/>
      <scheme val="minor"/>
    </font>
    <font>
      <sz val="11"/>
      <color theme="5" tint="-0.499984740745262"/>
      <name val="Calibri"/>
      <family val="2"/>
      <charset val="238"/>
      <scheme val="minor"/>
    </font>
    <font>
      <b/>
      <sz val="11"/>
      <color theme="5" tint="-0.499984740745262"/>
      <name val="Calibri"/>
      <family val="2"/>
      <charset val="238"/>
      <scheme val="minor"/>
    </font>
    <font>
      <sz val="9"/>
      <color theme="5" tint="-0.249977111117893"/>
      <name val="Calibri"/>
      <family val="2"/>
      <charset val="238"/>
      <scheme val="minor"/>
    </font>
    <font>
      <b/>
      <sz val="9"/>
      <color theme="5" tint="-0.249977111117893"/>
      <name val="Calibri"/>
      <family val="2"/>
      <charset val="238"/>
      <scheme val="minor"/>
    </font>
    <font>
      <b/>
      <sz val="9"/>
      <color theme="1"/>
      <name val="Calibri"/>
      <family val="2"/>
      <scheme val="minor"/>
    </font>
    <font>
      <sz val="10"/>
      <color theme="1"/>
      <name val="Arial Narrow"/>
      <family val="2"/>
    </font>
    <font>
      <sz val="9"/>
      <color theme="1"/>
      <name val="Calibri"/>
      <family val="2"/>
      <scheme val="minor"/>
    </font>
    <font>
      <b/>
      <sz val="10"/>
      <color theme="0"/>
      <name val="Arial Narrow"/>
      <family val="2"/>
    </font>
    <font>
      <b/>
      <sz val="10"/>
      <color theme="1"/>
      <name val="Arial Narrow"/>
      <family val="2"/>
    </font>
    <font>
      <sz val="10"/>
      <color rgb="FF000000"/>
      <name val="Arial Narrow"/>
      <family val="2"/>
    </font>
    <font>
      <b/>
      <sz val="10"/>
      <color rgb="FF000000"/>
      <name val="Arial Narrow"/>
      <family val="2"/>
    </font>
    <font>
      <b/>
      <sz val="10"/>
      <color rgb="FF00B050"/>
      <name val="Arial Narrow"/>
      <family val="2"/>
    </font>
    <font>
      <sz val="10"/>
      <color theme="5" tint="-0.249977111117893"/>
      <name val="Arial Narrow"/>
      <family val="2"/>
    </font>
    <font>
      <sz val="10"/>
      <color theme="0"/>
      <name val="Arial Narrow"/>
      <family val="2"/>
    </font>
    <font>
      <b/>
      <sz val="10"/>
      <color theme="5" tint="-0.249977111117893"/>
      <name val="Arial Narrow"/>
      <family val="2"/>
    </font>
    <font>
      <sz val="9"/>
      <color indexed="81"/>
      <name val="Tahoma"/>
      <family val="2"/>
    </font>
    <font>
      <b/>
      <sz val="9"/>
      <color indexed="81"/>
      <name val="Tahoma"/>
      <family val="2"/>
    </font>
    <font>
      <sz val="9"/>
      <color theme="1"/>
      <name val="Calibri"/>
      <family val="2"/>
    </font>
  </fonts>
  <fills count="29">
    <fill>
      <patternFill patternType="none"/>
    </fill>
    <fill>
      <patternFill patternType="gray125"/>
    </fill>
    <fill>
      <patternFill patternType="solid">
        <fgColor rgb="FFA6A6A6"/>
        <bgColor indexed="64"/>
      </patternFill>
    </fill>
    <fill>
      <patternFill patternType="solid">
        <fgColor rgb="FFC6EFCE"/>
      </patternFill>
    </fill>
    <fill>
      <patternFill patternType="solid">
        <fgColor rgb="FFF2F2F2"/>
      </patternFill>
    </fill>
    <fill>
      <patternFill patternType="solid">
        <fgColor rgb="FFFFFFCC"/>
      </patternFill>
    </fill>
    <fill>
      <patternFill patternType="solid">
        <fgColor theme="0" tint="-0.249977111117893"/>
        <bgColor indexed="64"/>
      </patternFill>
    </fill>
    <fill>
      <patternFill patternType="solid">
        <fgColor theme="0" tint="-0.34998626667073579"/>
        <bgColor indexed="64"/>
      </patternFill>
    </fill>
    <fill>
      <patternFill patternType="solid">
        <fgColor rgb="FFD9D9D9"/>
        <bgColor rgb="FF000000"/>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3"/>
        <bgColor indexed="64"/>
      </patternFill>
    </fill>
    <fill>
      <patternFill patternType="solid">
        <fgColor theme="9" tint="0.59999389629810485"/>
        <bgColor indexed="64"/>
      </patternFill>
    </fill>
    <fill>
      <patternFill patternType="solid">
        <fgColor theme="2" tint="-0.499984740745262"/>
        <bgColor indexed="64"/>
      </patternFill>
    </fill>
    <fill>
      <patternFill patternType="solid">
        <fgColor rgb="FFFFFFCC"/>
        <bgColor indexed="64"/>
      </patternFill>
    </fill>
    <fill>
      <patternFill patternType="solid">
        <fgColor theme="6"/>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bgColor indexed="64"/>
      </patternFill>
    </fill>
    <fill>
      <patternFill patternType="solid">
        <fgColor rgb="FFF2F2F2"/>
        <bgColor indexed="64"/>
      </patternFill>
    </fill>
    <fill>
      <patternFill patternType="solid">
        <fgColor rgb="FFDEEAF6"/>
        <bgColor indexed="64"/>
      </patternFill>
    </fill>
  </fills>
  <borders count="194">
    <border>
      <left/>
      <right/>
      <top/>
      <bottom/>
      <diagonal/>
    </border>
    <border>
      <left style="thick">
        <color indexed="64"/>
      </left>
      <right style="medium">
        <color indexed="64"/>
      </right>
      <top style="thick">
        <color indexed="64"/>
      </top>
      <bottom style="thick">
        <color indexed="64"/>
      </bottom>
      <diagonal/>
    </border>
    <border>
      <left/>
      <right style="medium">
        <color indexed="64"/>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ck">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ck">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ck">
        <color indexed="64"/>
      </top>
      <bottom style="thick">
        <color indexed="64"/>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right/>
      <top style="thin">
        <color indexed="64"/>
      </top>
      <bottom style="thin">
        <color indexed="64"/>
      </bottom>
      <diagonal/>
    </border>
    <border>
      <left/>
      <right style="thin">
        <color indexed="64"/>
      </right>
      <top style="medium">
        <color indexed="64"/>
      </top>
      <bottom/>
      <diagonal/>
    </border>
    <border>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thin">
        <color rgb="FFB2B2B2"/>
      </right>
      <top style="thin">
        <color rgb="FFB2B2B2"/>
      </top>
      <bottom style="thin">
        <color rgb="FFB2B2B2"/>
      </bottom>
      <diagonal/>
    </border>
    <border>
      <left style="thin">
        <color rgb="FF7F7F7F"/>
      </left>
      <right style="medium">
        <color indexed="64"/>
      </right>
      <top style="medium">
        <color indexed="64"/>
      </top>
      <bottom style="thin">
        <color rgb="FF7F7F7F"/>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right style="thin">
        <color rgb="FF7F7F7F"/>
      </right>
      <top style="thin">
        <color rgb="FF7F7F7F"/>
      </top>
      <bottom style="medium">
        <color indexed="64"/>
      </bottom>
      <diagonal/>
    </border>
    <border>
      <left style="medium">
        <color indexed="64"/>
      </left>
      <right style="thin">
        <color rgb="FF7F7F7F"/>
      </right>
      <top/>
      <bottom style="medium">
        <color indexed="64"/>
      </bottom>
      <diagonal/>
    </border>
    <border>
      <left style="thin">
        <color rgb="FF7F7F7F"/>
      </left>
      <right style="thin">
        <color rgb="FF7F7F7F"/>
      </right>
      <top/>
      <bottom style="medium">
        <color indexed="64"/>
      </bottom>
      <diagonal/>
    </border>
    <border>
      <left style="thin">
        <color rgb="FF7F7F7F"/>
      </left>
      <right style="medium">
        <color indexed="64"/>
      </right>
      <top/>
      <bottom style="medium">
        <color indexed="64"/>
      </bottom>
      <diagonal/>
    </border>
    <border>
      <left style="thin">
        <color rgb="FF7F7F7F"/>
      </left>
      <right style="medium">
        <color indexed="64"/>
      </right>
      <top/>
      <bottom style="thin">
        <color rgb="FF7F7F7F"/>
      </bottom>
      <diagonal/>
    </border>
    <border>
      <left/>
      <right style="thin">
        <color rgb="FF7F7F7F"/>
      </right>
      <top style="medium">
        <color indexed="64"/>
      </top>
      <bottom style="thin">
        <color rgb="FF7F7F7F"/>
      </bottom>
      <diagonal/>
    </border>
    <border>
      <left style="thin">
        <color rgb="FF7F7F7F"/>
      </left>
      <right style="thin">
        <color rgb="FF7F7F7F"/>
      </right>
      <top style="medium">
        <color indexed="64"/>
      </top>
      <bottom style="thin">
        <color rgb="FF7F7F7F"/>
      </bottom>
      <diagonal/>
    </border>
    <border>
      <left style="thin">
        <color rgb="FFB2B2B2"/>
      </left>
      <right style="thin">
        <color rgb="FFB2B2B2"/>
      </right>
      <top style="medium">
        <color indexed="64"/>
      </top>
      <bottom style="thin">
        <color rgb="FFB2B2B2"/>
      </bottom>
      <diagonal/>
    </border>
    <border>
      <left style="thin">
        <color rgb="FFB2B2B2"/>
      </left>
      <right style="medium">
        <color indexed="64"/>
      </right>
      <top style="medium">
        <color indexed="64"/>
      </top>
      <bottom style="thin">
        <color rgb="FFB2B2B2"/>
      </bottom>
      <diagonal/>
    </border>
    <border>
      <left style="thin">
        <color rgb="FFB2B2B2"/>
      </left>
      <right style="medium">
        <color indexed="64"/>
      </right>
      <top style="thin">
        <color rgb="FFB2B2B2"/>
      </top>
      <bottom style="thin">
        <color rgb="FFB2B2B2"/>
      </bottom>
      <diagonal/>
    </border>
    <border>
      <left style="thin">
        <color rgb="FFB2B2B2"/>
      </left>
      <right style="thin">
        <color rgb="FFB2B2B2"/>
      </right>
      <top style="thin">
        <color rgb="FFB2B2B2"/>
      </top>
      <bottom style="medium">
        <color indexed="64"/>
      </bottom>
      <diagonal/>
    </border>
    <border>
      <left style="thin">
        <color rgb="FFB2B2B2"/>
      </left>
      <right style="medium">
        <color indexed="64"/>
      </right>
      <top style="thin">
        <color rgb="FFB2B2B2"/>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B2B2B2"/>
      </left>
      <right style="medium">
        <color indexed="64"/>
      </right>
      <top style="medium">
        <color indexed="64"/>
      </top>
      <bottom/>
      <diagonal/>
    </border>
    <border>
      <left style="thin">
        <color rgb="FFB2B2B2"/>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rgb="FF7F7F7F"/>
      </left>
      <right style="thin">
        <color rgb="FF7F7F7F"/>
      </right>
      <top style="thin">
        <color rgb="FF7F7F7F"/>
      </top>
      <bottom/>
      <diagonal/>
    </border>
    <border>
      <left style="medium">
        <color indexed="64"/>
      </left>
      <right style="thin">
        <color rgb="FF7F7F7F"/>
      </right>
      <top style="medium">
        <color indexed="64"/>
      </top>
      <bottom style="medium">
        <color indexed="64"/>
      </bottom>
      <diagonal/>
    </border>
    <border>
      <left style="thin">
        <color rgb="FF7F7F7F"/>
      </left>
      <right style="thin">
        <color rgb="FF7F7F7F"/>
      </right>
      <top style="medium">
        <color indexed="64"/>
      </top>
      <bottom style="medium">
        <color indexed="64"/>
      </bottom>
      <diagonal/>
    </border>
    <border>
      <left style="thin">
        <color rgb="FF7F7F7F"/>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thin">
        <color rgb="FF7F7F7F"/>
      </right>
      <top style="thin">
        <color rgb="FF7F7F7F"/>
      </top>
      <bottom/>
      <diagonal/>
    </border>
    <border>
      <left/>
      <right style="medium">
        <color indexed="64"/>
      </right>
      <top style="medium">
        <color indexed="64"/>
      </top>
      <bottom style="thin">
        <color rgb="FF7F7F7F"/>
      </bottom>
      <diagonal/>
    </border>
    <border>
      <left/>
      <right style="medium">
        <color indexed="64"/>
      </right>
      <top style="thin">
        <color rgb="FF7F7F7F"/>
      </top>
      <bottom style="thin">
        <color rgb="FF7F7F7F"/>
      </bottom>
      <diagonal/>
    </border>
    <border>
      <left/>
      <right style="medium">
        <color indexed="64"/>
      </right>
      <top style="thin">
        <color rgb="FF7F7F7F"/>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rgb="FF7F7F7F"/>
      </bottom>
      <diagonal/>
    </border>
    <border>
      <left style="medium">
        <color indexed="64"/>
      </left>
      <right style="medium">
        <color indexed="64"/>
      </right>
      <top style="thin">
        <color rgb="FF7F7F7F"/>
      </top>
      <bottom style="thin">
        <color rgb="FF7F7F7F"/>
      </bottom>
      <diagonal/>
    </border>
    <border>
      <left style="medium">
        <color indexed="64"/>
      </left>
      <right style="medium">
        <color indexed="64"/>
      </right>
      <top style="thin">
        <color rgb="FF7F7F7F"/>
      </top>
      <bottom/>
      <diagonal/>
    </border>
    <border>
      <left/>
      <right style="thin">
        <color rgb="FFB2B2B2"/>
      </right>
      <top style="medium">
        <color indexed="64"/>
      </top>
      <bottom style="thin">
        <color rgb="FFB2B2B2"/>
      </bottom>
      <diagonal/>
    </border>
    <border>
      <left/>
      <right style="thin">
        <color rgb="FFB2B2B2"/>
      </right>
      <top style="thin">
        <color rgb="FFB2B2B2"/>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rgb="FF7F7F7F"/>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rgb="FF7F7F7F"/>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rgb="FFB2B2B2"/>
      </bottom>
      <diagonal/>
    </border>
    <border>
      <left style="medium">
        <color indexed="64"/>
      </left>
      <right style="medium">
        <color indexed="64"/>
      </right>
      <top style="thin">
        <color rgb="FFB2B2B2"/>
      </top>
      <bottom style="medium">
        <color indexed="64"/>
      </bottom>
      <diagonal/>
    </border>
    <border>
      <left style="medium">
        <color indexed="64"/>
      </left>
      <right style="thin">
        <color rgb="FF7F7F7F"/>
      </right>
      <top style="thin">
        <color rgb="FF7F7F7F"/>
      </top>
      <bottom style="thin">
        <color rgb="FF7F7F7F"/>
      </bottom>
      <diagonal/>
    </border>
    <border>
      <left/>
      <right style="medium">
        <color indexed="64"/>
      </right>
      <top style="thin">
        <color rgb="FF7F7F7F"/>
      </top>
      <bottom style="medium">
        <color indexed="64"/>
      </bottom>
      <diagonal/>
    </border>
    <border>
      <left style="medium">
        <color indexed="64"/>
      </left>
      <right style="thin">
        <color rgb="FF7F7F7F"/>
      </right>
      <top style="medium">
        <color indexed="64"/>
      </top>
      <bottom style="thin">
        <color rgb="FF7F7F7F"/>
      </bottom>
      <diagonal/>
    </border>
    <border>
      <left style="medium">
        <color indexed="64"/>
      </left>
      <right style="thin">
        <color rgb="FF7F7F7F"/>
      </right>
      <top/>
      <bottom style="thin">
        <color rgb="FF7F7F7F"/>
      </bottom>
      <diagonal/>
    </border>
    <border>
      <left/>
      <right style="medium">
        <color indexed="64"/>
      </right>
      <top style="medium">
        <color indexed="64"/>
      </top>
      <bottom style="thin">
        <color rgb="FFB2B2B2"/>
      </bottom>
      <diagonal/>
    </border>
    <border>
      <left/>
      <right style="medium">
        <color indexed="64"/>
      </right>
      <top style="thin">
        <color rgb="FFB2B2B2"/>
      </top>
      <bottom style="thin">
        <color rgb="FFB2B2B2"/>
      </bottom>
      <diagonal/>
    </border>
    <border>
      <left/>
      <right style="medium">
        <color indexed="64"/>
      </right>
      <top style="thin">
        <color rgb="FFB2B2B2"/>
      </top>
      <bottom style="medium">
        <color indexed="64"/>
      </bottom>
      <diagonal/>
    </border>
    <border>
      <left style="thin">
        <color rgb="FFB2B2B2"/>
      </left>
      <right/>
      <top style="medium">
        <color indexed="64"/>
      </top>
      <bottom style="thin">
        <color rgb="FFB2B2B2"/>
      </bottom>
      <diagonal/>
    </border>
    <border>
      <left style="thin">
        <color rgb="FFB2B2B2"/>
      </left>
      <right style="thin">
        <color rgb="FFB2B2B2"/>
      </right>
      <top style="thin">
        <color rgb="FFB2B2B2"/>
      </top>
      <bottom/>
      <diagonal/>
    </border>
    <border>
      <left/>
      <right style="medium">
        <color indexed="64"/>
      </right>
      <top style="thin">
        <color indexed="64"/>
      </top>
      <bottom style="thin">
        <color rgb="FF7F7F7F"/>
      </bottom>
      <diagonal/>
    </border>
    <border>
      <left style="thin">
        <color rgb="FF7F7F7F"/>
      </left>
      <right style="medium">
        <color indexed="64"/>
      </right>
      <top style="thin">
        <color rgb="FF7F7F7F"/>
      </top>
      <bottom/>
      <diagonal/>
    </border>
    <border>
      <left/>
      <right style="thin">
        <color rgb="FFB2B2B2"/>
      </right>
      <top style="thin">
        <color rgb="FFB2B2B2"/>
      </top>
      <bottom/>
      <diagonal/>
    </border>
    <border>
      <left style="medium">
        <color indexed="64"/>
      </left>
      <right style="thin">
        <color rgb="FF7F7F7F"/>
      </right>
      <top style="thin">
        <color rgb="FF7F7F7F"/>
      </top>
      <bottom/>
      <diagonal/>
    </border>
    <border>
      <left style="thin">
        <color rgb="FF7F7F7F"/>
      </left>
      <right/>
      <top style="medium">
        <color indexed="64"/>
      </top>
      <bottom style="thin">
        <color rgb="FF7F7F7F"/>
      </bottom>
      <diagonal/>
    </border>
    <border>
      <left style="thin">
        <color rgb="FF7F7F7F"/>
      </left>
      <right style="medium">
        <color indexed="64"/>
      </right>
      <top style="medium">
        <color indexed="64"/>
      </top>
      <bottom/>
      <diagonal/>
    </border>
    <border>
      <left style="thin">
        <color rgb="FF7F7F7F"/>
      </left>
      <right/>
      <top style="thin">
        <color rgb="FF7F7F7F"/>
      </top>
      <bottom style="medium">
        <color indexed="64"/>
      </bottom>
      <diagonal/>
    </border>
    <border>
      <left style="thin">
        <color rgb="FF7F7F7F"/>
      </left>
      <right/>
      <top style="medium">
        <color indexed="64"/>
      </top>
      <bottom/>
      <diagonal/>
    </border>
    <border>
      <left style="medium">
        <color indexed="64"/>
      </left>
      <right style="thin">
        <color rgb="FF7F7F7F"/>
      </right>
      <top style="medium">
        <color indexed="64"/>
      </top>
      <bottom style="thin">
        <color indexed="64"/>
      </bottom>
      <diagonal/>
    </border>
    <border>
      <left style="thin">
        <color rgb="FF7F7F7F"/>
      </left>
      <right style="thin">
        <color rgb="FF7F7F7F"/>
      </right>
      <top style="medium">
        <color indexed="64"/>
      </top>
      <bottom style="thin">
        <color indexed="64"/>
      </bottom>
      <diagonal/>
    </border>
    <border>
      <left style="thin">
        <color rgb="FF7F7F7F"/>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rgb="FFB2B2B2"/>
      </left>
      <right style="thin">
        <color theme="2" tint="-0.249977111117893"/>
      </right>
      <top style="thin">
        <color rgb="FFB2B2B2"/>
      </top>
      <bottom style="thin">
        <color rgb="FFB2B2B2"/>
      </bottom>
      <diagonal/>
    </border>
    <border>
      <left style="thin">
        <color rgb="FFB2B2B2"/>
      </left>
      <right style="thin">
        <color theme="2" tint="-0.249977111117893"/>
      </right>
      <top style="thin">
        <color rgb="FFB2B2B2"/>
      </top>
      <bottom style="medium">
        <color indexed="64"/>
      </bottom>
      <diagonal/>
    </border>
    <border>
      <left style="thin">
        <color rgb="FFB2B2B2"/>
      </left>
      <right style="thin">
        <color theme="2" tint="-0.249977111117893"/>
      </right>
      <top style="medium">
        <color indexed="64"/>
      </top>
      <bottom style="thin">
        <color rgb="FFB2B2B2"/>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medium">
        <color auto="1"/>
      </left>
      <right style="thin">
        <color theme="2" tint="-0.249977111117893"/>
      </right>
      <top style="thin">
        <color theme="2" tint="-0.249977111117893"/>
      </top>
      <bottom style="thin">
        <color theme="2" tint="-0.249977111117893"/>
      </bottom>
      <diagonal/>
    </border>
    <border>
      <left style="medium">
        <color auto="1"/>
      </left>
      <right style="thin">
        <color theme="2" tint="-0.249977111117893"/>
      </right>
      <top style="thin">
        <color theme="2" tint="-0.249977111117893"/>
      </top>
      <bottom style="medium">
        <color auto="1"/>
      </bottom>
      <diagonal/>
    </border>
    <border>
      <left style="thin">
        <color theme="2" tint="-0.249977111117893"/>
      </left>
      <right style="thin">
        <color theme="2" tint="-0.249977111117893"/>
      </right>
      <top style="thin">
        <color theme="2" tint="-0.249977111117893"/>
      </top>
      <bottom style="medium">
        <color auto="1"/>
      </bottom>
      <diagonal/>
    </border>
    <border>
      <left style="thin">
        <color theme="2" tint="-0.249977111117893"/>
      </left>
      <right style="medium">
        <color auto="1"/>
      </right>
      <top style="thin">
        <color theme="2" tint="-0.249977111117893"/>
      </top>
      <bottom style="medium">
        <color auto="1"/>
      </bottom>
      <diagonal/>
    </border>
    <border>
      <left style="thin">
        <color theme="2" tint="-0.249977111117893"/>
      </left>
      <right style="medium">
        <color auto="1"/>
      </right>
      <top style="thin">
        <color theme="2" tint="-0.249977111117893"/>
      </top>
      <bottom style="thin">
        <color theme="2" tint="-0.249977111117893"/>
      </bottom>
      <diagonal/>
    </border>
    <border>
      <left style="medium">
        <color indexed="64"/>
      </left>
      <right style="medium">
        <color indexed="64"/>
      </right>
      <top style="thin">
        <color rgb="FFB2B2B2"/>
      </top>
      <bottom style="thin">
        <color rgb="FFB2B2B2"/>
      </bottom>
      <diagonal/>
    </border>
    <border>
      <left/>
      <right style="thin">
        <color rgb="FFB2B2B2"/>
      </right>
      <top/>
      <bottom style="thin">
        <color rgb="FFB2B2B2"/>
      </bottom>
      <diagonal/>
    </border>
    <border>
      <left style="thin">
        <color rgb="FFB2B2B2"/>
      </left>
      <right style="thin">
        <color rgb="FFB2B2B2"/>
      </right>
      <top/>
      <bottom style="thin">
        <color rgb="FFB2B2B2"/>
      </bottom>
      <diagonal/>
    </border>
    <border>
      <left style="thin">
        <color rgb="FFB2B2B2"/>
      </left>
      <right style="thin">
        <color theme="2" tint="-0.249977111117893"/>
      </right>
      <top/>
      <bottom style="thin">
        <color rgb="FFB2B2B2"/>
      </bottom>
      <diagonal/>
    </border>
    <border>
      <left/>
      <right style="medium">
        <color indexed="64"/>
      </right>
      <top/>
      <bottom style="thin">
        <color rgb="FFB2B2B2"/>
      </bottom>
      <diagonal/>
    </border>
    <border>
      <left style="thin">
        <color rgb="FFB2B2B2"/>
      </left>
      <right style="thin">
        <color rgb="FFB2B2B2"/>
      </right>
      <top style="medium">
        <color indexed="64"/>
      </top>
      <bottom style="medium">
        <color indexed="64"/>
      </bottom>
      <diagonal/>
    </border>
    <border>
      <left style="thin">
        <color rgb="FFB2B2B2"/>
      </left>
      <right style="thin">
        <color theme="2" tint="-0.249977111117893"/>
      </right>
      <top style="medium">
        <color indexed="64"/>
      </top>
      <bottom style="medium">
        <color indexed="64"/>
      </bottom>
      <diagonal/>
    </border>
    <border>
      <left style="thin">
        <color rgb="FF7F7F7F"/>
      </left>
      <right/>
      <top style="medium">
        <color indexed="64"/>
      </top>
      <bottom style="medium">
        <color indexed="64"/>
      </bottom>
      <diagonal/>
    </border>
    <border>
      <left style="thin">
        <color rgb="FFB2B2B2"/>
      </left>
      <right/>
      <top style="thin">
        <color rgb="FFB2B2B2"/>
      </top>
      <bottom style="thin">
        <color rgb="FFB2B2B2"/>
      </bottom>
      <diagonal/>
    </border>
    <border>
      <left style="thin">
        <color rgb="FFB2B2B2"/>
      </left>
      <right/>
      <top style="thin">
        <color rgb="FFB2B2B2"/>
      </top>
      <bottom style="medium">
        <color indexed="64"/>
      </bottom>
      <diagonal/>
    </border>
    <border>
      <left style="thin">
        <color rgb="FF7F7F7F"/>
      </left>
      <right/>
      <top style="thin">
        <color rgb="FF7F7F7F"/>
      </top>
      <bottom style="thin">
        <color rgb="FF7F7F7F"/>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bottom style="thin">
        <color theme="0" tint="-0.24994659260841701"/>
      </bottom>
      <diagonal/>
    </border>
    <border>
      <left/>
      <right/>
      <top/>
      <bottom style="thin">
        <color theme="0" tint="-0.24994659260841701"/>
      </bottom>
      <diagonal/>
    </border>
    <border>
      <left/>
      <right style="medium">
        <color indexed="64"/>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medium">
        <color indexed="64"/>
      </bottom>
      <diagonal/>
    </border>
    <border>
      <left/>
      <right/>
      <top style="thin">
        <color theme="0" tint="-0.24994659260841701"/>
      </top>
      <bottom style="medium">
        <color indexed="64"/>
      </bottom>
      <diagonal/>
    </border>
    <border>
      <left/>
      <right style="medium">
        <color indexed="64"/>
      </right>
      <top style="thin">
        <color theme="0" tint="-0.24994659260841701"/>
      </top>
      <bottom style="medium">
        <color indexed="64"/>
      </bottom>
      <diagonal/>
    </border>
    <border>
      <left style="thin">
        <color theme="2" tint="-0.249977111117893"/>
      </left>
      <right/>
      <top style="thin">
        <color theme="2" tint="-0.249977111117893"/>
      </top>
      <bottom style="thin">
        <color theme="2" tint="-0.249977111117893"/>
      </bottom>
      <diagonal/>
    </border>
    <border>
      <left style="medium">
        <color indexed="64"/>
      </left>
      <right style="medium">
        <color indexed="64"/>
      </right>
      <top style="thin">
        <color theme="2" tint="-0.249977111117893"/>
      </top>
      <bottom style="thin">
        <color theme="2" tint="-0.249977111117893"/>
      </bottom>
      <diagonal/>
    </border>
    <border>
      <left style="thin">
        <color theme="2" tint="-0.249977111117893"/>
      </left>
      <right style="medium">
        <color auto="1"/>
      </right>
      <top/>
      <bottom style="thin">
        <color theme="2" tint="-0.249977111117893"/>
      </bottom>
      <diagonal/>
    </border>
    <border>
      <left style="thin">
        <color rgb="FFB2B2B2"/>
      </left>
      <right/>
      <top/>
      <bottom style="thin">
        <color rgb="FFB2B2B2"/>
      </bottom>
      <diagonal/>
    </border>
    <border>
      <left style="medium">
        <color indexed="64"/>
      </left>
      <right style="medium">
        <color indexed="64"/>
      </right>
      <top/>
      <bottom style="thin">
        <color theme="2" tint="-0.249977111117893"/>
      </bottom>
      <diagonal/>
    </border>
    <border>
      <left style="medium">
        <color indexed="64"/>
      </left>
      <right style="thin">
        <color theme="2" tint="-0.24994659260841701"/>
      </right>
      <top style="medium">
        <color auto="1"/>
      </top>
      <bottom style="thin">
        <color theme="2" tint="-0.24994659260841701"/>
      </bottom>
      <diagonal/>
    </border>
    <border>
      <left style="thin">
        <color theme="2" tint="-0.24994659260841701"/>
      </left>
      <right style="thin">
        <color theme="2" tint="-0.24994659260841701"/>
      </right>
      <top style="medium">
        <color auto="1"/>
      </top>
      <bottom style="thin">
        <color theme="2" tint="-0.24994659260841701"/>
      </bottom>
      <diagonal/>
    </border>
    <border>
      <left style="thin">
        <color theme="2" tint="-0.24994659260841701"/>
      </left>
      <right style="medium">
        <color auto="1"/>
      </right>
      <top style="medium">
        <color auto="1"/>
      </top>
      <bottom style="thin">
        <color theme="2" tint="-0.24994659260841701"/>
      </bottom>
      <diagonal/>
    </border>
    <border>
      <left style="medium">
        <color indexed="64"/>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medium">
        <color auto="1"/>
      </right>
      <top style="thin">
        <color theme="2" tint="-0.24994659260841701"/>
      </top>
      <bottom style="thin">
        <color theme="2" tint="-0.24994659260841701"/>
      </bottom>
      <diagonal/>
    </border>
    <border>
      <left style="medium">
        <color indexed="64"/>
      </left>
      <right style="thin">
        <color theme="2" tint="-0.24994659260841701"/>
      </right>
      <top style="thin">
        <color theme="2" tint="-0.24994659260841701"/>
      </top>
      <bottom style="medium">
        <color indexed="64"/>
      </bottom>
      <diagonal/>
    </border>
    <border>
      <left style="thin">
        <color theme="2" tint="-0.24994659260841701"/>
      </left>
      <right style="thin">
        <color theme="2" tint="-0.24994659260841701"/>
      </right>
      <top style="thin">
        <color theme="2" tint="-0.24994659260841701"/>
      </top>
      <bottom style="medium">
        <color indexed="64"/>
      </bottom>
      <diagonal/>
    </border>
    <border>
      <left style="thin">
        <color theme="2" tint="-0.24994659260841701"/>
      </left>
      <right style="medium">
        <color auto="1"/>
      </right>
      <top style="thin">
        <color theme="2" tint="-0.24994659260841701"/>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theme="0"/>
      </bottom>
      <diagonal/>
    </border>
    <border>
      <left/>
      <right/>
      <top/>
      <bottom style="thin">
        <color theme="0"/>
      </bottom>
      <diagonal/>
    </border>
    <border>
      <left/>
      <right/>
      <top style="thin">
        <color theme="0"/>
      </top>
      <bottom style="thin">
        <color theme="0"/>
      </bottom>
      <diagonal/>
    </border>
    <border>
      <left/>
      <right/>
      <top style="thin">
        <color theme="0"/>
      </top>
      <bottom style="thin">
        <color rgb="FFB2B2B2"/>
      </bottom>
      <diagonal/>
    </border>
    <border>
      <left/>
      <right style="thin">
        <color rgb="FFB2B2B2"/>
      </right>
      <top/>
      <bottom style="medium">
        <color indexed="64"/>
      </bottom>
      <diagonal/>
    </border>
    <border>
      <left style="medium">
        <color indexed="64"/>
      </left>
      <right style="thin">
        <color rgb="FFB2B2B2"/>
      </right>
      <top style="medium">
        <color indexed="64"/>
      </top>
      <bottom/>
      <diagonal/>
    </border>
    <border>
      <left/>
      <right style="thin">
        <color rgb="FFB2B2B2"/>
      </right>
      <top/>
      <bottom style="thin">
        <color theme="0"/>
      </bottom>
      <diagonal/>
    </border>
    <border>
      <left/>
      <right style="thin">
        <color rgb="FFB2B2B2"/>
      </right>
      <top style="thin">
        <color theme="0"/>
      </top>
      <bottom style="thin">
        <color theme="0"/>
      </bottom>
      <diagonal/>
    </border>
    <border>
      <left/>
      <right style="thin">
        <color rgb="FFB2B2B2"/>
      </right>
      <top style="thin">
        <color theme="0"/>
      </top>
      <bottom style="thin">
        <color rgb="FFB2B2B2"/>
      </bottom>
      <diagonal/>
    </border>
    <border>
      <left style="thin">
        <color rgb="FFB2B2B2"/>
      </left>
      <right/>
      <top/>
      <bottom style="medium">
        <color indexed="64"/>
      </bottom>
      <diagonal/>
    </border>
    <border>
      <left style="thin">
        <color rgb="FFB2B2B2"/>
      </left>
      <right/>
      <top/>
      <bottom style="thin">
        <color theme="0"/>
      </bottom>
      <diagonal/>
    </border>
    <border>
      <left style="thin">
        <color rgb="FFB2B2B2"/>
      </left>
      <right/>
      <top style="thin">
        <color theme="0"/>
      </top>
      <bottom style="thin">
        <color theme="0"/>
      </bottom>
      <diagonal/>
    </border>
    <border>
      <left style="thin">
        <color rgb="FFB2B2B2"/>
      </left>
      <right/>
      <top style="thin">
        <color theme="0"/>
      </top>
      <bottom style="thin">
        <color rgb="FFB2B2B2"/>
      </bottom>
      <diagonal/>
    </border>
  </borders>
  <cellStyleXfs count="8">
    <xf numFmtId="0" fontId="0" fillId="0" borderId="0"/>
    <xf numFmtId="0" fontId="7" fillId="3" borderId="0" applyNumberFormat="0" applyBorder="0" applyAlignment="0" applyProtection="0"/>
    <xf numFmtId="0" fontId="8" fillId="4" borderId="16" applyNumberFormat="0" applyAlignment="0" applyProtection="0"/>
    <xf numFmtId="0" fontId="3" fillId="5" borderId="17" applyNumberFormat="0" applyFont="0" applyAlignment="0" applyProtection="0"/>
    <xf numFmtId="9" fontId="3" fillId="0" borderId="0" applyFont="0" applyFill="0" applyBorder="0" applyAlignment="0" applyProtection="0"/>
    <xf numFmtId="165" fontId="3" fillId="0" borderId="0" applyFont="0" applyFill="0" applyBorder="0" applyAlignment="0" applyProtection="0"/>
    <xf numFmtId="0" fontId="62" fillId="0" borderId="0" applyNumberFormat="0" applyFill="0" applyBorder="0" applyAlignment="0" applyProtection="0"/>
    <xf numFmtId="164" fontId="3" fillId="0" borderId="0" applyFont="0" applyFill="0" applyBorder="0" applyAlignment="0" applyProtection="0"/>
  </cellStyleXfs>
  <cellXfs count="849">
    <xf numFmtId="0" fontId="0" fillId="0" borderId="0" xfId="0"/>
    <xf numFmtId="0" fontId="4" fillId="2" borderId="1" xfId="0" applyFont="1" applyFill="1" applyBorder="1" applyAlignment="1">
      <alignment horizontal="left" vertical="top" wrapText="1"/>
    </xf>
    <xf numFmtId="0" fontId="4" fillId="2" borderId="2" xfId="0" applyFont="1" applyFill="1" applyBorder="1" applyAlignment="1">
      <alignment horizontal="justify" vertical="top" wrapText="1"/>
    </xf>
    <xf numFmtId="0" fontId="4" fillId="2" borderId="3" xfId="0" applyFont="1" applyFill="1" applyBorder="1" applyAlignment="1">
      <alignment horizontal="justify" vertical="top" wrapText="1"/>
    </xf>
    <xf numFmtId="0" fontId="5" fillId="0" borderId="0" xfId="0" applyFont="1" applyAlignment="1">
      <alignment vertical="top"/>
    </xf>
    <xf numFmtId="0" fontId="4" fillId="2" borderId="10" xfId="0" applyFont="1" applyFill="1" applyBorder="1" applyAlignment="1">
      <alignment horizontal="center" vertical="top" wrapText="1"/>
    </xf>
    <xf numFmtId="0" fontId="5" fillId="0" borderId="0" xfId="0" applyFont="1" applyAlignment="1">
      <alignment horizontal="center" vertical="top"/>
    </xf>
    <xf numFmtId="0" fontId="0" fillId="0" borderId="0" xfId="0" applyBorder="1" applyAlignment="1">
      <alignment horizontal="left" vertical="top" wrapText="1"/>
    </xf>
    <xf numFmtId="0" fontId="0" fillId="6" borderId="0" xfId="0" applyFill="1" applyBorder="1" applyAlignment="1">
      <alignment horizontal="left" vertical="top" wrapText="1"/>
    </xf>
    <xf numFmtId="0" fontId="5" fillId="6" borderId="14" xfId="0" applyFont="1" applyFill="1" applyBorder="1" applyAlignment="1">
      <alignment horizontal="left" vertical="top" wrapText="1"/>
    </xf>
    <xf numFmtId="0" fontId="5" fillId="6" borderId="24" xfId="0" applyFont="1" applyFill="1" applyBorder="1" applyAlignment="1">
      <alignment horizontal="left" vertical="top" wrapText="1"/>
    </xf>
    <xf numFmtId="0" fontId="10" fillId="6" borderId="15" xfId="0" applyFont="1" applyFill="1" applyBorder="1" applyAlignment="1">
      <alignment horizontal="left" vertical="top" wrapText="1"/>
    </xf>
    <xf numFmtId="0" fontId="11" fillId="6" borderId="31" xfId="0" applyFont="1" applyFill="1" applyBorder="1" applyAlignment="1">
      <alignment horizontal="left" vertical="top" wrapText="1"/>
    </xf>
    <xf numFmtId="0" fontId="0" fillId="6" borderId="32" xfId="0" applyFill="1" applyBorder="1" applyAlignment="1">
      <alignment horizontal="left" vertical="top" wrapText="1"/>
    </xf>
    <xf numFmtId="0" fontId="0" fillId="7" borderId="15" xfId="0" applyFill="1" applyBorder="1" applyAlignment="1">
      <alignment vertical="top" wrapText="1"/>
    </xf>
    <xf numFmtId="0" fontId="0" fillId="7" borderId="26" xfId="0" applyFill="1" applyBorder="1" applyAlignment="1">
      <alignment vertical="top" wrapText="1"/>
    </xf>
    <xf numFmtId="0" fontId="12" fillId="7" borderId="5" xfId="0" applyFont="1" applyFill="1" applyBorder="1" applyAlignment="1">
      <alignment vertical="top" wrapText="1"/>
    </xf>
    <xf numFmtId="0" fontId="10" fillId="7" borderId="0" xfId="0" applyFont="1" applyFill="1" applyBorder="1" applyAlignment="1">
      <alignment horizontal="center" vertical="top" wrapText="1"/>
    </xf>
    <xf numFmtId="0" fontId="0" fillId="6" borderId="18" xfId="0" applyFill="1" applyBorder="1" applyAlignment="1">
      <alignment horizontal="left" vertical="top" wrapText="1"/>
    </xf>
    <xf numFmtId="0" fontId="10" fillId="7" borderId="0" xfId="0" applyFont="1" applyFill="1" applyBorder="1" applyAlignment="1">
      <alignment horizontal="left" vertical="top" wrapText="1"/>
    </xf>
    <xf numFmtId="0" fontId="0" fillId="7" borderId="0" xfId="0" applyFill="1" applyBorder="1" applyAlignment="1">
      <alignment vertical="top" wrapText="1"/>
    </xf>
    <xf numFmtId="0" fontId="0" fillId="7" borderId="25" xfId="0" applyFill="1" applyBorder="1" applyAlignment="1">
      <alignment vertical="top" wrapText="1"/>
    </xf>
    <xf numFmtId="0" fontId="12" fillId="7" borderId="27" xfId="0" applyFont="1" applyFill="1" applyBorder="1" applyAlignment="1">
      <alignment vertical="top" wrapText="1"/>
    </xf>
    <xf numFmtId="0" fontId="0" fillId="7" borderId="24" xfId="0" applyFill="1" applyBorder="1" applyAlignment="1">
      <alignment vertical="top" wrapText="1"/>
    </xf>
    <xf numFmtId="0" fontId="12" fillId="7" borderId="6" xfId="0" applyFont="1" applyFill="1" applyBorder="1" applyAlignment="1">
      <alignment vertical="top" wrapText="1"/>
    </xf>
    <xf numFmtId="0" fontId="0" fillId="0" borderId="6" xfId="0" applyBorder="1" applyAlignment="1">
      <alignment horizontal="left" vertical="top" wrapText="1"/>
    </xf>
    <xf numFmtId="4" fontId="8" fillId="4" borderId="16" xfId="2" applyNumberFormat="1" applyAlignment="1">
      <alignment horizontal="right" vertical="top" wrapText="1"/>
    </xf>
    <xf numFmtId="4" fontId="8" fillId="4" borderId="36" xfId="2" applyNumberFormat="1" applyBorder="1" applyAlignment="1">
      <alignment horizontal="right" vertical="top" wrapText="1"/>
    </xf>
    <xf numFmtId="0" fontId="10" fillId="7" borderId="6" xfId="0" applyFont="1" applyFill="1" applyBorder="1" applyAlignment="1">
      <alignment horizontal="left" vertical="top" wrapText="1"/>
    </xf>
    <xf numFmtId="4" fontId="8" fillId="4" borderId="37" xfId="2" applyNumberFormat="1" applyBorder="1" applyAlignment="1">
      <alignment horizontal="right" vertical="top" wrapText="1"/>
    </xf>
    <xf numFmtId="4" fontId="7" fillId="3" borderId="0" xfId="1" applyNumberFormat="1" applyBorder="1" applyAlignment="1">
      <alignment horizontal="right" vertical="top" wrapText="1"/>
    </xf>
    <xf numFmtId="0" fontId="8" fillId="4" borderId="16" xfId="2" applyAlignment="1">
      <alignment horizontal="left" vertical="top"/>
    </xf>
    <xf numFmtId="0" fontId="0" fillId="0" borderId="39" xfId="0" applyBorder="1" applyAlignment="1">
      <alignment horizontal="left" vertical="top" wrapText="1"/>
    </xf>
    <xf numFmtId="0" fontId="0" fillId="0" borderId="40" xfId="0" applyBorder="1" applyAlignment="1">
      <alignment horizontal="left" vertical="top" wrapText="1"/>
    </xf>
    <xf numFmtId="4" fontId="8" fillId="4" borderId="42" xfId="2" applyNumberFormat="1" applyBorder="1" applyAlignment="1">
      <alignment horizontal="right" vertical="top" wrapText="1"/>
    </xf>
    <xf numFmtId="4" fontId="8" fillId="4" borderId="45" xfId="2" applyNumberFormat="1" applyBorder="1" applyAlignment="1">
      <alignment horizontal="right" vertical="top" wrapText="1"/>
    </xf>
    <xf numFmtId="3" fontId="8" fillId="4" borderId="42" xfId="2" applyNumberFormat="1" applyBorder="1" applyAlignment="1">
      <alignment horizontal="right" vertical="top" wrapText="1"/>
    </xf>
    <xf numFmtId="0" fontId="16" fillId="0" borderId="0" xfId="0" applyFont="1" applyBorder="1"/>
    <xf numFmtId="0" fontId="0" fillId="6" borderId="33" xfId="0" applyFill="1" applyBorder="1" applyAlignment="1">
      <alignment horizontal="left" vertical="top" wrapText="1"/>
    </xf>
    <xf numFmtId="0" fontId="0" fillId="6" borderId="6" xfId="0" applyFill="1" applyBorder="1" applyAlignment="1">
      <alignment horizontal="left" vertical="top" wrapText="1"/>
    </xf>
    <xf numFmtId="0" fontId="0" fillId="0" borderId="70" xfId="0" applyBorder="1" applyAlignment="1">
      <alignment horizontal="left" vertical="top" wrapText="1"/>
    </xf>
    <xf numFmtId="0" fontId="10" fillId="7" borderId="69" xfId="0" applyFont="1" applyFill="1" applyBorder="1" applyAlignment="1">
      <alignment horizontal="left" vertical="top" wrapText="1"/>
    </xf>
    <xf numFmtId="0" fontId="0" fillId="7" borderId="29" xfId="0" applyFill="1" applyBorder="1" applyAlignment="1">
      <alignment vertical="top" wrapText="1"/>
    </xf>
    <xf numFmtId="0" fontId="12" fillId="7" borderId="30" xfId="0" applyFont="1" applyFill="1" applyBorder="1" applyAlignment="1">
      <alignment vertical="top" wrapText="1"/>
    </xf>
    <xf numFmtId="4" fontId="8" fillId="4" borderId="71" xfId="2" applyNumberFormat="1" applyBorder="1" applyAlignment="1">
      <alignment horizontal="right" vertical="top" wrapText="1"/>
    </xf>
    <xf numFmtId="4" fontId="8" fillId="4" borderId="72" xfId="2" applyNumberFormat="1" applyBorder="1" applyAlignment="1">
      <alignment horizontal="right" vertical="top" wrapText="1"/>
    </xf>
    <xf numFmtId="4" fontId="8" fillId="4" borderId="73" xfId="2" applyNumberFormat="1" applyBorder="1" applyAlignment="1">
      <alignment horizontal="right" vertical="top" wrapText="1"/>
    </xf>
    <xf numFmtId="4" fontId="8" fillId="4" borderId="74" xfId="2" applyNumberFormat="1" applyBorder="1" applyAlignment="1">
      <alignment horizontal="right" vertical="top" wrapText="1"/>
    </xf>
    <xf numFmtId="4" fontId="8" fillId="4" borderId="76" xfId="2" applyNumberFormat="1" applyBorder="1" applyAlignment="1">
      <alignment horizontal="right" vertical="top" wrapText="1"/>
    </xf>
    <xf numFmtId="0" fontId="0" fillId="0" borderId="75" xfId="0" applyBorder="1" applyAlignment="1">
      <alignment horizontal="left" vertical="top" wrapText="1"/>
    </xf>
    <xf numFmtId="0" fontId="11" fillId="6" borderId="35" xfId="0" applyFont="1" applyFill="1" applyBorder="1" applyAlignment="1">
      <alignment horizontal="left" vertical="top" wrapText="1"/>
    </xf>
    <xf numFmtId="0" fontId="0" fillId="6" borderId="27" xfId="0" applyFill="1" applyBorder="1" applyAlignment="1">
      <alignment horizontal="left" vertical="top" wrapText="1"/>
    </xf>
    <xf numFmtId="4" fontId="8" fillId="4" borderId="77" xfId="2" applyNumberFormat="1" applyBorder="1" applyAlignment="1">
      <alignment horizontal="right" vertical="top" wrapText="1"/>
    </xf>
    <xf numFmtId="4" fontId="8" fillId="4" borderId="78" xfId="2" applyNumberFormat="1" applyBorder="1" applyAlignment="1">
      <alignment horizontal="right" vertical="top" wrapText="1"/>
    </xf>
    <xf numFmtId="4" fontId="8" fillId="4" borderId="79" xfId="2" applyNumberFormat="1" applyBorder="1" applyAlignment="1">
      <alignment horizontal="right" vertical="top" wrapText="1"/>
    </xf>
    <xf numFmtId="0" fontId="0" fillId="6" borderId="8" xfId="0" applyFill="1" applyBorder="1" applyAlignment="1">
      <alignment horizontal="left" vertical="top" wrapText="1"/>
    </xf>
    <xf numFmtId="0" fontId="0" fillId="6" borderId="9" xfId="0" applyFill="1" applyBorder="1" applyAlignment="1">
      <alignment horizontal="left" vertical="top" wrapText="1"/>
    </xf>
    <xf numFmtId="0" fontId="7" fillId="3" borderId="80" xfId="1" applyBorder="1" applyAlignment="1">
      <alignment horizontal="right" vertical="top" wrapText="1"/>
    </xf>
    <xf numFmtId="4" fontId="8" fillId="4" borderId="36" xfId="2" applyNumberFormat="1" applyBorder="1" applyAlignment="1">
      <alignment horizontal="left" vertical="top" wrapText="1"/>
    </xf>
    <xf numFmtId="4" fontId="8" fillId="4" borderId="81" xfId="2" applyNumberFormat="1" applyBorder="1" applyAlignment="1">
      <alignment horizontal="right" vertical="top" wrapText="1"/>
    </xf>
    <xf numFmtId="4" fontId="8" fillId="4" borderId="82" xfId="2" applyNumberFormat="1" applyBorder="1" applyAlignment="1">
      <alignment horizontal="right" vertical="top" wrapText="1"/>
    </xf>
    <xf numFmtId="4" fontId="8" fillId="4" borderId="83" xfId="2" applyNumberFormat="1" applyBorder="1" applyAlignment="1">
      <alignment horizontal="right" vertical="top" wrapText="1"/>
    </xf>
    <xf numFmtId="0" fontId="0" fillId="0" borderId="0" xfId="0" applyAlignment="1">
      <alignment wrapText="1"/>
    </xf>
    <xf numFmtId="0" fontId="10" fillId="0" borderId="0" xfId="0" applyFont="1" applyBorder="1" applyAlignment="1">
      <alignment horizontal="left" vertical="top" wrapText="1"/>
    </xf>
    <xf numFmtId="0" fontId="10" fillId="0" borderId="28" xfId="0" applyFont="1" applyBorder="1" applyAlignment="1">
      <alignment horizontal="left" vertical="top" wrapText="1"/>
    </xf>
    <xf numFmtId="3" fontId="8" fillId="4" borderId="14" xfId="2" applyNumberFormat="1" applyBorder="1" applyAlignment="1">
      <alignment horizontal="right" vertical="top" wrapText="1"/>
    </xf>
    <xf numFmtId="3" fontId="8" fillId="4" borderId="24" xfId="2" applyNumberFormat="1" applyBorder="1" applyAlignment="1">
      <alignment horizontal="right" vertical="top" wrapText="1"/>
    </xf>
    <xf numFmtId="3" fontId="8" fillId="4" borderId="15" xfId="2" applyNumberFormat="1" applyBorder="1" applyAlignment="1">
      <alignment horizontal="right" vertical="top" wrapText="1"/>
    </xf>
    <xf numFmtId="0" fontId="0" fillId="0" borderId="8" xfId="0" applyBorder="1" applyAlignment="1">
      <alignment horizontal="left" vertical="top" wrapText="1"/>
    </xf>
    <xf numFmtId="0" fontId="0" fillId="0" borderId="80" xfId="0" applyBorder="1" applyAlignment="1">
      <alignment horizontal="left" vertical="top" wrapText="1"/>
    </xf>
    <xf numFmtId="0" fontId="0" fillId="0" borderId="9" xfId="0" applyBorder="1" applyAlignment="1">
      <alignment horizontal="left" vertical="top" wrapText="1"/>
    </xf>
    <xf numFmtId="0" fontId="10" fillId="6" borderId="22" xfId="0" applyFont="1" applyFill="1" applyBorder="1" applyAlignment="1">
      <alignment horizontal="center" vertical="top" wrapText="1"/>
    </xf>
    <xf numFmtId="3" fontId="8" fillId="4" borderId="14" xfId="2" applyNumberFormat="1" applyBorder="1" applyAlignment="1">
      <alignment vertical="top" wrapText="1"/>
    </xf>
    <xf numFmtId="3" fontId="8" fillId="4" borderId="24" xfId="2" applyNumberFormat="1" applyBorder="1" applyAlignment="1">
      <alignment vertical="top" wrapText="1"/>
    </xf>
    <xf numFmtId="3" fontId="8" fillId="4" borderId="15" xfId="2" applyNumberFormat="1" applyBorder="1" applyAlignment="1">
      <alignment vertical="top" wrapText="1"/>
    </xf>
    <xf numFmtId="0" fontId="10" fillId="10" borderId="6" xfId="0" applyFont="1" applyFill="1" applyBorder="1" applyAlignment="1">
      <alignment horizontal="left" vertical="top" wrapText="1"/>
    </xf>
    <xf numFmtId="0" fontId="10" fillId="7" borderId="30" xfId="0" applyFont="1" applyFill="1" applyBorder="1" applyAlignment="1">
      <alignment horizontal="left" vertical="top" wrapText="1"/>
    </xf>
    <xf numFmtId="0" fontId="10" fillId="11" borderId="6" xfId="0" applyFont="1" applyFill="1" applyBorder="1" applyAlignment="1">
      <alignment horizontal="left" vertical="top" wrapText="1"/>
    </xf>
    <xf numFmtId="3" fontId="8" fillId="4" borderId="72" xfId="2" applyNumberFormat="1" applyBorder="1" applyAlignment="1">
      <alignment horizontal="right" vertical="top" wrapText="1"/>
    </xf>
    <xf numFmtId="3" fontId="8" fillId="4" borderId="73" xfId="2" applyNumberFormat="1" applyBorder="1" applyAlignment="1">
      <alignment horizontal="right" vertical="top" wrapText="1"/>
    </xf>
    <xf numFmtId="3" fontId="8" fillId="4" borderId="74" xfId="2" applyNumberFormat="1" applyBorder="1" applyAlignment="1">
      <alignment horizontal="right" vertical="top" wrapText="1"/>
    </xf>
    <xf numFmtId="0" fontId="10" fillId="10" borderId="30" xfId="0" applyFont="1" applyFill="1" applyBorder="1" applyAlignment="1">
      <alignment horizontal="left" vertical="top" wrapText="1"/>
    </xf>
    <xf numFmtId="0" fontId="10" fillId="11" borderId="30" xfId="0" applyFont="1" applyFill="1" applyBorder="1" applyAlignment="1">
      <alignment horizontal="left" vertical="top" wrapText="1"/>
    </xf>
    <xf numFmtId="0" fontId="31" fillId="0" borderId="0" xfId="0" applyFont="1" applyAlignment="1">
      <alignment horizontal="center"/>
    </xf>
    <xf numFmtId="0" fontId="32" fillId="0" borderId="0" xfId="0" applyFont="1"/>
    <xf numFmtId="49" fontId="32" fillId="0" borderId="0" xfId="0" applyNumberFormat="1" applyFont="1"/>
    <xf numFmtId="3" fontId="8" fillId="4" borderId="73" xfId="2" applyNumberFormat="1" applyBorder="1"/>
    <xf numFmtId="0" fontId="30" fillId="0" borderId="0" xfId="0" applyFont="1" applyAlignment="1">
      <alignment horizontal="center"/>
    </xf>
    <xf numFmtId="0" fontId="32" fillId="0" borderId="0" xfId="0" applyFont="1" applyBorder="1" applyAlignment="1">
      <alignment horizontal="center"/>
    </xf>
    <xf numFmtId="0" fontId="31" fillId="0" borderId="0" xfId="0" applyFont="1" applyAlignment="1"/>
    <xf numFmtId="0" fontId="31" fillId="0" borderId="0" xfId="0" applyFont="1" applyAlignment="1">
      <alignment wrapText="1"/>
    </xf>
    <xf numFmtId="0" fontId="30" fillId="0" borderId="0" xfId="0" applyFont="1" applyAlignment="1"/>
    <xf numFmtId="0" fontId="31" fillId="0" borderId="0" xfId="0" applyFont="1" applyBorder="1" applyAlignment="1"/>
    <xf numFmtId="0" fontId="0" fillId="0" borderId="0" xfId="0" applyBorder="1"/>
    <xf numFmtId="0" fontId="32" fillId="0" borderId="0" xfId="0" applyFont="1" applyBorder="1" applyAlignment="1"/>
    <xf numFmtId="0" fontId="10" fillId="7" borderId="69" xfId="0" applyFont="1" applyFill="1" applyBorder="1" applyAlignment="1">
      <alignment horizontal="center" vertical="top" wrapText="1"/>
    </xf>
    <xf numFmtId="3" fontId="8" fillId="4" borderId="36" xfId="2" applyNumberFormat="1" applyBorder="1"/>
    <xf numFmtId="3" fontId="8" fillId="4" borderId="88" xfId="2" applyNumberFormat="1" applyBorder="1"/>
    <xf numFmtId="0" fontId="0" fillId="6" borderId="89" xfId="0" applyFill="1" applyBorder="1" applyAlignment="1">
      <alignment horizontal="center" vertical="top" wrapText="1"/>
    </xf>
    <xf numFmtId="3" fontId="8" fillId="4" borderId="82" xfId="2" applyNumberFormat="1" applyBorder="1" applyAlignment="1">
      <alignment horizontal="right"/>
    </xf>
    <xf numFmtId="3" fontId="8" fillId="4" borderId="83" xfId="2" applyNumberFormat="1" applyBorder="1" applyAlignment="1">
      <alignment horizontal="right"/>
    </xf>
    <xf numFmtId="3" fontId="8" fillId="4" borderId="69" xfId="2" applyNumberFormat="1" applyBorder="1"/>
    <xf numFmtId="3" fontId="8" fillId="4" borderId="30" xfId="2" applyNumberFormat="1" applyBorder="1"/>
    <xf numFmtId="3" fontId="8" fillId="4" borderId="90" xfId="2" applyNumberFormat="1" applyBorder="1"/>
    <xf numFmtId="0" fontId="29" fillId="0" borderId="14" xfId="0" applyFont="1" applyBorder="1" applyAlignment="1"/>
    <xf numFmtId="0" fontId="29" fillId="0" borderId="23" xfId="0" applyFont="1" applyBorder="1" applyAlignment="1"/>
    <xf numFmtId="0" fontId="31" fillId="0" borderId="24" xfId="0" applyFont="1" applyBorder="1" applyAlignment="1"/>
    <xf numFmtId="0" fontId="0" fillId="0" borderId="0" xfId="0" applyFill="1" applyBorder="1" applyAlignment="1">
      <alignment horizontal="left" vertical="top" wrapText="1"/>
    </xf>
    <xf numFmtId="0" fontId="9" fillId="0" borderId="0" xfId="0" applyFont="1"/>
    <xf numFmtId="0" fontId="4" fillId="5" borderId="30" xfId="3" applyFont="1" applyBorder="1" applyAlignment="1">
      <alignment vertical="top"/>
    </xf>
    <xf numFmtId="0" fontId="0" fillId="0" borderId="38" xfId="0" applyFont="1" applyBorder="1" applyAlignment="1">
      <alignment horizontal="left"/>
    </xf>
    <xf numFmtId="0" fontId="0" fillId="0" borderId="39" xfId="0" applyFont="1" applyBorder="1" applyAlignment="1">
      <alignment horizontal="left"/>
    </xf>
    <xf numFmtId="0" fontId="0" fillId="6" borderId="87" xfId="0" applyFill="1" applyBorder="1" applyAlignment="1">
      <alignment horizontal="center" vertical="top" wrapText="1"/>
    </xf>
    <xf numFmtId="0" fontId="0" fillId="6" borderId="60" xfId="0" applyFill="1" applyBorder="1" applyAlignment="1">
      <alignment horizontal="center" vertical="top" wrapText="1"/>
    </xf>
    <xf numFmtId="0" fontId="0" fillId="6" borderId="61" xfId="0" applyFill="1" applyBorder="1" applyAlignment="1">
      <alignment horizontal="center" vertical="top" wrapText="1"/>
    </xf>
    <xf numFmtId="3" fontId="8" fillId="4" borderId="93" xfId="2" applyNumberFormat="1" applyBorder="1"/>
    <xf numFmtId="3" fontId="8" fillId="4" borderId="78" xfId="2" applyNumberFormat="1" applyBorder="1"/>
    <xf numFmtId="3" fontId="8" fillId="4" borderId="43" xfId="2" applyNumberFormat="1" applyBorder="1"/>
    <xf numFmtId="3" fontId="8" fillId="4" borderId="46" xfId="2" applyNumberFormat="1" applyBorder="1"/>
    <xf numFmtId="3" fontId="8" fillId="4" borderId="94" xfId="2" applyNumberFormat="1" applyBorder="1"/>
    <xf numFmtId="3" fontId="15" fillId="5" borderId="84" xfId="3" applyNumberFormat="1" applyFont="1" applyBorder="1" applyAlignment="1">
      <alignment vertical="top" wrapText="1"/>
    </xf>
    <xf numFmtId="3" fontId="15" fillId="5" borderId="53" xfId="3" applyNumberFormat="1" applyFont="1" applyBorder="1" applyAlignment="1">
      <alignment vertical="top" wrapText="1"/>
    </xf>
    <xf numFmtId="3" fontId="15" fillId="5" borderId="54" xfId="3" applyNumberFormat="1" applyFont="1" applyBorder="1" applyAlignment="1">
      <alignment vertical="top" wrapText="1"/>
    </xf>
    <xf numFmtId="3" fontId="15" fillId="5" borderId="41" xfId="3" applyNumberFormat="1" applyFont="1" applyBorder="1" applyAlignment="1">
      <alignment vertical="top" wrapText="1"/>
    </xf>
    <xf numFmtId="3" fontId="15" fillId="5" borderId="17" xfId="3" applyNumberFormat="1" applyFont="1" applyBorder="1" applyAlignment="1">
      <alignment vertical="top" wrapText="1"/>
    </xf>
    <xf numFmtId="3" fontId="15" fillId="5" borderId="55" xfId="3" applyNumberFormat="1" applyFont="1" applyBorder="1" applyAlignment="1">
      <alignment vertical="top" wrapText="1"/>
    </xf>
    <xf numFmtId="3" fontId="15" fillId="5" borderId="85" xfId="3" applyNumberFormat="1" applyFont="1" applyBorder="1" applyAlignment="1">
      <alignment vertical="top" wrapText="1"/>
    </xf>
    <xf numFmtId="3" fontId="15" fillId="5" borderId="56" xfId="3" applyNumberFormat="1" applyFont="1" applyBorder="1" applyAlignment="1">
      <alignment vertical="top" wrapText="1"/>
    </xf>
    <xf numFmtId="3" fontId="15" fillId="5" borderId="57" xfId="3" applyNumberFormat="1" applyFont="1" applyBorder="1" applyAlignment="1">
      <alignment vertical="top" wrapText="1"/>
    </xf>
    <xf numFmtId="3" fontId="15" fillId="5" borderId="84" xfId="3" applyNumberFormat="1" applyFont="1" applyBorder="1" applyAlignment="1">
      <alignment horizontal="right" vertical="top" wrapText="1"/>
    </xf>
    <xf numFmtId="3" fontId="15" fillId="5" borderId="53" xfId="3" applyNumberFormat="1" applyFont="1" applyBorder="1" applyAlignment="1">
      <alignment horizontal="right" vertical="top" wrapText="1"/>
    </xf>
    <xf numFmtId="3" fontId="15" fillId="5" borderId="41" xfId="3" applyNumberFormat="1" applyFont="1" applyBorder="1" applyAlignment="1">
      <alignment horizontal="right" vertical="top" wrapText="1"/>
    </xf>
    <xf numFmtId="3" fontId="15" fillId="5" borderId="17" xfId="3" applyNumberFormat="1" applyFont="1" applyBorder="1" applyAlignment="1">
      <alignment horizontal="right" vertical="top" wrapText="1"/>
    </xf>
    <xf numFmtId="3" fontId="15" fillId="5" borderId="85" xfId="3" applyNumberFormat="1" applyFont="1" applyBorder="1" applyAlignment="1">
      <alignment horizontal="right" vertical="top" wrapText="1"/>
    </xf>
    <xf numFmtId="3" fontId="15" fillId="5" borderId="56" xfId="3" applyNumberFormat="1" applyFont="1" applyBorder="1" applyAlignment="1">
      <alignment horizontal="right" vertical="top" wrapText="1"/>
    </xf>
    <xf numFmtId="3" fontId="15" fillId="5" borderId="54" xfId="3" applyNumberFormat="1" applyFont="1" applyBorder="1" applyAlignment="1">
      <alignment horizontal="right" vertical="top" wrapText="1"/>
    </xf>
    <xf numFmtId="3" fontId="15" fillId="5" borderId="55" xfId="3" applyNumberFormat="1" applyFont="1" applyBorder="1" applyAlignment="1">
      <alignment horizontal="right" vertical="top" wrapText="1"/>
    </xf>
    <xf numFmtId="3" fontId="15" fillId="5" borderId="57" xfId="3" applyNumberFormat="1" applyFont="1" applyBorder="1" applyAlignment="1">
      <alignment horizontal="right" vertical="top" wrapText="1"/>
    </xf>
    <xf numFmtId="3" fontId="8" fillId="4" borderId="95" xfId="2" applyNumberFormat="1" applyBorder="1" applyAlignment="1">
      <alignment horizontal="right" vertical="top" wrapText="1"/>
    </xf>
    <xf numFmtId="3" fontId="8" fillId="4" borderId="52" xfId="2" applyNumberFormat="1" applyBorder="1" applyAlignment="1">
      <alignment horizontal="right" vertical="top" wrapText="1"/>
    </xf>
    <xf numFmtId="3" fontId="8" fillId="4" borderId="47" xfId="2" applyNumberFormat="1" applyBorder="1" applyAlignment="1">
      <alignment vertical="top" wrapText="1"/>
    </xf>
    <xf numFmtId="3" fontId="8" fillId="4" borderId="44" xfId="2" applyNumberFormat="1" applyBorder="1" applyAlignment="1">
      <alignment vertical="top" wrapText="1"/>
    </xf>
    <xf numFmtId="3" fontId="8" fillId="4" borderId="45" xfId="2" applyNumberFormat="1" applyBorder="1" applyAlignment="1">
      <alignment vertical="top" wrapText="1"/>
    </xf>
    <xf numFmtId="3" fontId="8" fillId="4" borderId="96" xfId="2" applyNumberFormat="1" applyBorder="1" applyAlignment="1">
      <alignment vertical="top" wrapText="1"/>
    </xf>
    <xf numFmtId="3" fontId="8" fillId="4" borderId="16" xfId="2" applyNumberFormat="1" applyBorder="1" applyAlignment="1">
      <alignment vertical="top" wrapText="1"/>
    </xf>
    <xf numFmtId="3" fontId="8" fillId="4" borderId="37" xfId="2" applyNumberFormat="1" applyBorder="1" applyAlignment="1">
      <alignment vertical="top" wrapText="1"/>
    </xf>
    <xf numFmtId="0" fontId="0" fillId="0" borderId="0" xfId="0" applyBorder="1" applyAlignment="1">
      <alignment horizontal="left" vertical="top" wrapText="1"/>
    </xf>
    <xf numFmtId="0" fontId="36" fillId="0" borderId="0" xfId="0" applyFont="1"/>
    <xf numFmtId="0" fontId="36" fillId="0" borderId="0" xfId="0" applyFont="1" applyAlignment="1">
      <alignment horizontal="right"/>
    </xf>
    <xf numFmtId="0" fontId="38" fillId="0" borderId="0" xfId="0" applyFont="1" applyFill="1" applyBorder="1" applyAlignment="1">
      <alignment horizontal="center" vertical="center" wrapText="1"/>
    </xf>
    <xf numFmtId="0" fontId="37" fillId="12" borderId="80" xfId="0" applyFont="1" applyFill="1" applyBorder="1" applyAlignment="1">
      <alignment vertical="top"/>
    </xf>
    <xf numFmtId="0" fontId="37" fillId="12" borderId="0" xfId="0" applyFont="1" applyFill="1" applyBorder="1" applyAlignment="1">
      <alignment vertical="top"/>
    </xf>
    <xf numFmtId="0" fontId="37" fillId="12" borderId="24" xfId="0" applyFont="1" applyFill="1" applyBorder="1" applyAlignment="1">
      <alignment vertical="top"/>
    </xf>
    <xf numFmtId="0" fontId="37" fillId="12" borderId="6" xfId="0" applyFont="1" applyFill="1" applyBorder="1" applyAlignment="1">
      <alignment vertical="top"/>
    </xf>
    <xf numFmtId="0" fontId="36" fillId="0" borderId="0" xfId="0" applyFont="1" applyBorder="1"/>
    <xf numFmtId="0" fontId="36" fillId="0" borderId="0" xfId="0" applyFont="1" applyFill="1" applyBorder="1" applyAlignment="1">
      <alignment horizontal="left"/>
    </xf>
    <xf numFmtId="0" fontId="42" fillId="14" borderId="29" xfId="0" applyFont="1" applyFill="1" applyBorder="1"/>
    <xf numFmtId="1" fontId="42" fillId="0" borderId="0" xfId="0" applyNumberFormat="1" applyFont="1" applyFill="1" applyBorder="1"/>
    <xf numFmtId="0" fontId="36" fillId="0" borderId="0" xfId="0" applyFont="1" applyFill="1"/>
    <xf numFmtId="0" fontId="43" fillId="0" borderId="0" xfId="0" applyFont="1"/>
    <xf numFmtId="4" fontId="8" fillId="4" borderId="50" xfId="2" applyNumberFormat="1" applyBorder="1" applyAlignment="1">
      <alignment horizontal="right" vertical="top" wrapText="1"/>
    </xf>
    <xf numFmtId="4" fontId="0" fillId="0" borderId="0" xfId="0" applyNumberFormat="1" applyBorder="1" applyAlignment="1">
      <alignment horizontal="left" vertical="top" wrapText="1"/>
    </xf>
    <xf numFmtId="0" fontId="3" fillId="6" borderId="58" xfId="0" applyFont="1" applyFill="1" applyBorder="1" applyAlignment="1">
      <alignment horizontal="center" vertical="top" wrapText="1"/>
    </xf>
    <xf numFmtId="0" fontId="3" fillId="6" borderId="87" xfId="0" applyFont="1" applyFill="1" applyBorder="1" applyAlignment="1">
      <alignment horizontal="center" vertical="top" wrapText="1"/>
    </xf>
    <xf numFmtId="0" fontId="3" fillId="6" borderId="60" xfId="0" applyFont="1" applyFill="1" applyBorder="1" applyAlignment="1">
      <alignment horizontal="center" vertical="top" wrapText="1"/>
    </xf>
    <xf numFmtId="0" fontId="3" fillId="6" borderId="61" xfId="0" applyFont="1" applyFill="1" applyBorder="1" applyAlignment="1">
      <alignment horizontal="center" vertical="top" wrapText="1"/>
    </xf>
    <xf numFmtId="0" fontId="3" fillId="0" borderId="38" xfId="0" applyFont="1" applyBorder="1" applyAlignment="1">
      <alignment horizontal="left"/>
    </xf>
    <xf numFmtId="3" fontId="8" fillId="4" borderId="82" xfId="2" applyNumberFormat="1" applyFont="1" applyBorder="1" applyAlignment="1">
      <alignment horizontal="right"/>
    </xf>
    <xf numFmtId="3" fontId="8" fillId="4" borderId="93" xfId="2" applyNumberFormat="1" applyFont="1" applyBorder="1"/>
    <xf numFmtId="3" fontId="8" fillId="4" borderId="36" xfId="2" applyNumberFormat="1" applyFont="1" applyBorder="1"/>
    <xf numFmtId="3" fontId="8" fillId="4" borderId="78" xfId="2" applyNumberFormat="1" applyFont="1" applyBorder="1"/>
    <xf numFmtId="0" fontId="0" fillId="0" borderId="38" xfId="0" applyBorder="1" applyAlignment="1">
      <alignment horizontal="left"/>
    </xf>
    <xf numFmtId="0" fontId="0" fillId="0" borderId="39" xfId="0" applyBorder="1" applyAlignment="1">
      <alignment horizontal="left"/>
    </xf>
    <xf numFmtId="3" fontId="8" fillId="4" borderId="83" xfId="2" applyNumberFormat="1" applyFont="1" applyBorder="1" applyAlignment="1">
      <alignment horizontal="right"/>
    </xf>
    <xf numFmtId="3" fontId="8" fillId="4" borderId="69" xfId="2" applyNumberFormat="1" applyFont="1" applyBorder="1"/>
    <xf numFmtId="3" fontId="8" fillId="4" borderId="88" xfId="2" applyNumberFormat="1" applyFont="1" applyBorder="1"/>
    <xf numFmtId="3" fontId="8" fillId="4" borderId="73" xfId="2" applyNumberFormat="1" applyFont="1" applyBorder="1"/>
    <xf numFmtId="3" fontId="8" fillId="4" borderId="90" xfId="2" applyNumberFormat="1" applyFont="1" applyBorder="1"/>
    <xf numFmtId="3" fontId="8" fillId="4" borderId="30" xfId="2" applyNumberFormat="1" applyFont="1" applyBorder="1"/>
    <xf numFmtId="3" fontId="8" fillId="4" borderId="102" xfId="2" applyNumberFormat="1" applyFont="1" applyBorder="1"/>
    <xf numFmtId="3" fontId="8" fillId="4" borderId="16" xfId="2" applyNumberFormat="1" applyFont="1" applyBorder="1"/>
    <xf numFmtId="4" fontId="8" fillId="4" borderId="103" xfId="2" applyNumberFormat="1" applyBorder="1" applyAlignment="1">
      <alignment horizontal="right" vertical="top" wrapText="1"/>
    </xf>
    <xf numFmtId="4" fontId="8" fillId="0" borderId="0" xfId="2" applyNumberFormat="1" applyFill="1" applyBorder="1" applyAlignment="1">
      <alignment horizontal="right" vertical="top" wrapText="1"/>
    </xf>
    <xf numFmtId="4" fontId="0" fillId="0" borderId="0" xfId="0" applyNumberFormat="1"/>
    <xf numFmtId="4" fontId="8" fillId="4" borderId="105" xfId="2" applyNumberFormat="1" applyBorder="1" applyAlignment="1">
      <alignment horizontal="right" vertical="top" wrapText="1"/>
    </xf>
    <xf numFmtId="0" fontId="9" fillId="0" borderId="89" xfId="0" applyFont="1" applyBorder="1" applyAlignment="1">
      <alignment horizontal="left" vertical="top" wrapText="1"/>
    </xf>
    <xf numFmtId="0" fontId="9" fillId="0" borderId="9" xfId="0" applyFont="1" applyBorder="1" applyAlignment="1">
      <alignment horizontal="left" vertical="top" wrapText="1"/>
    </xf>
    <xf numFmtId="0" fontId="0" fillId="0" borderId="0" xfId="0" applyAlignment="1">
      <alignment horizontal="center" vertical="top" wrapText="1"/>
    </xf>
    <xf numFmtId="0" fontId="0" fillId="0" borderId="0" xfId="0" applyAlignment="1">
      <alignment horizontal="center" vertical="top"/>
    </xf>
    <xf numFmtId="0" fontId="0" fillId="0" borderId="0" xfId="0" applyFill="1"/>
    <xf numFmtId="0" fontId="0" fillId="0" borderId="6" xfId="0" applyBorder="1"/>
    <xf numFmtId="0" fontId="0" fillId="0" borderId="5" xfId="0" applyBorder="1"/>
    <xf numFmtId="0" fontId="0" fillId="0" borderId="65" xfId="0" applyBorder="1" applyAlignment="1">
      <alignment horizontal="center" vertical="center"/>
    </xf>
    <xf numFmtId="0" fontId="0" fillId="0" borderId="13" xfId="0" applyBorder="1"/>
    <xf numFmtId="4" fontId="8" fillId="4" borderId="118" xfId="2" applyNumberFormat="1" applyBorder="1" applyAlignment="1">
      <alignment horizontal="right" vertical="top" wrapText="1"/>
    </xf>
    <xf numFmtId="4" fontId="8" fillId="4" borderId="117" xfId="2" applyNumberFormat="1" applyBorder="1" applyAlignment="1">
      <alignment horizontal="right" vertical="top" wrapText="1"/>
    </xf>
    <xf numFmtId="2" fontId="36" fillId="0" borderId="0" xfId="0" applyNumberFormat="1" applyFont="1"/>
    <xf numFmtId="0" fontId="0" fillId="0" borderId="0" xfId="0" applyAlignment="1">
      <alignment vertical="center"/>
    </xf>
    <xf numFmtId="0" fontId="0" fillId="0" borderId="0" xfId="0" applyAlignment="1">
      <alignment horizontal="left" vertical="center"/>
    </xf>
    <xf numFmtId="0" fontId="10" fillId="0" borderId="28" xfId="0" applyFont="1" applyBorder="1" applyAlignment="1">
      <alignment horizontal="left" vertical="center" wrapText="1"/>
    </xf>
    <xf numFmtId="0" fontId="45" fillId="0" borderId="28" xfId="0" applyFont="1" applyBorder="1" applyAlignment="1">
      <alignment horizontal="left" vertical="center" wrapText="1"/>
    </xf>
    <xf numFmtId="4" fontId="47" fillId="4" borderId="118" xfId="2" applyNumberFormat="1" applyFont="1" applyBorder="1" applyAlignment="1">
      <alignment horizontal="left" vertical="center" wrapText="1"/>
    </xf>
    <xf numFmtId="4" fontId="8" fillId="15" borderId="117" xfId="2" applyNumberFormat="1" applyFill="1" applyBorder="1" applyAlignment="1">
      <alignment horizontal="right" vertical="center" wrapText="1"/>
    </xf>
    <xf numFmtId="167" fontId="46" fillId="15" borderId="117" xfId="4" applyNumberFormat="1" applyFont="1" applyFill="1" applyBorder="1" applyAlignment="1">
      <alignment horizontal="right" vertical="center" wrapText="1"/>
    </xf>
    <xf numFmtId="3" fontId="46" fillId="15" borderId="117" xfId="4" applyNumberFormat="1" applyFont="1" applyFill="1" applyBorder="1" applyAlignment="1">
      <alignment horizontal="right" vertical="center" wrapText="1"/>
    </xf>
    <xf numFmtId="0" fontId="48" fillId="0" borderId="0" xfId="0" applyFont="1" applyAlignment="1">
      <alignment horizontal="right" vertical="center"/>
    </xf>
    <xf numFmtId="4" fontId="49" fillId="9" borderId="117" xfId="2" applyNumberFormat="1" applyFont="1" applyFill="1" applyBorder="1" applyAlignment="1">
      <alignment horizontal="right" vertical="center" wrapText="1"/>
    </xf>
    <xf numFmtId="167" fontId="50" fillId="9" borderId="117" xfId="4" applyNumberFormat="1" applyFont="1" applyFill="1" applyBorder="1" applyAlignment="1">
      <alignment horizontal="right" vertical="center" wrapText="1"/>
    </xf>
    <xf numFmtId="0" fontId="51" fillId="0" borderId="0" xfId="0" applyFont="1" applyAlignment="1">
      <alignment vertical="center"/>
    </xf>
    <xf numFmtId="3" fontId="50" fillId="9" borderId="117" xfId="4" applyNumberFormat="1" applyFont="1" applyFill="1" applyBorder="1" applyAlignment="1">
      <alignment horizontal="right" vertical="center" wrapText="1"/>
    </xf>
    <xf numFmtId="2" fontId="4" fillId="17" borderId="80" xfId="1" applyNumberFormat="1" applyFont="1" applyFill="1" applyBorder="1" applyAlignment="1">
      <alignment vertical="top" wrapText="1"/>
    </xf>
    <xf numFmtId="1" fontId="52" fillId="3" borderId="5" xfId="1" applyNumberFormat="1" applyFont="1" applyBorder="1" applyAlignment="1">
      <alignment horizontal="right" vertical="top" wrapText="1"/>
    </xf>
    <xf numFmtId="0" fontId="33" fillId="0" borderId="0" xfId="0" applyFont="1" applyBorder="1"/>
    <xf numFmtId="0" fontId="10" fillId="0" borderId="0" xfId="0" applyFont="1" applyFill="1" applyBorder="1" applyAlignment="1">
      <alignment horizontal="center" vertical="top" wrapText="1"/>
    </xf>
    <xf numFmtId="3" fontId="8" fillId="0" borderId="0" xfId="2" applyNumberFormat="1" applyFill="1" applyBorder="1"/>
    <xf numFmtId="0" fontId="9" fillId="0" borderId="61" xfId="0" applyFont="1" applyBorder="1" applyAlignment="1"/>
    <xf numFmtId="0" fontId="9" fillId="0" borderId="120" xfId="0" applyFont="1" applyBorder="1" applyAlignment="1"/>
    <xf numFmtId="0" fontId="0" fillId="0" borderId="121" xfId="0" applyFont="1" applyBorder="1" applyAlignment="1">
      <alignment horizontal="left"/>
    </xf>
    <xf numFmtId="0" fontId="10" fillId="7" borderId="30" xfId="0" applyFont="1" applyFill="1" applyBorder="1" applyAlignment="1">
      <alignment horizontal="center" vertical="top" wrapText="1"/>
    </xf>
    <xf numFmtId="0" fontId="0" fillId="0" borderId="6" xfId="0" applyFont="1" applyBorder="1" applyAlignment="1"/>
    <xf numFmtId="0" fontId="0" fillId="0" borderId="6" xfId="0" applyFont="1" applyBorder="1" applyAlignment="1">
      <alignment horizontal="right"/>
    </xf>
    <xf numFmtId="0" fontId="33" fillId="0" borderId="6" xfId="0" applyFont="1" applyBorder="1"/>
    <xf numFmtId="0" fontId="35" fillId="0" borderId="24" xfId="0" applyFont="1" applyBorder="1" applyAlignment="1"/>
    <xf numFmtId="9" fontId="0" fillId="0" borderId="19" xfId="4" applyFont="1" applyBorder="1" applyAlignment="1">
      <alignment wrapText="1"/>
    </xf>
    <xf numFmtId="4" fontId="0" fillId="0" borderId="20" xfId="0" applyNumberFormat="1" applyBorder="1" applyAlignment="1">
      <alignment wrapText="1"/>
    </xf>
    <xf numFmtId="9" fontId="0" fillId="0" borderId="0" xfId="4" applyFont="1"/>
    <xf numFmtId="4" fontId="0" fillId="0" borderId="20" xfId="0" applyNumberFormat="1" applyBorder="1"/>
    <xf numFmtId="9" fontId="0" fillId="0" borderId="0" xfId="4" applyFont="1" applyBorder="1" applyAlignment="1">
      <alignment wrapText="1"/>
    </xf>
    <xf numFmtId="0" fontId="0" fillId="0" borderId="0" xfId="0" applyBorder="1" applyAlignment="1">
      <alignment wrapText="1"/>
    </xf>
    <xf numFmtId="2" fontId="0" fillId="0" borderId="20" xfId="0" applyNumberFormat="1" applyBorder="1" applyAlignment="1">
      <alignment wrapText="1"/>
    </xf>
    <xf numFmtId="2" fontId="0" fillId="0" borderId="124" xfId="0" applyNumberFormat="1" applyBorder="1" applyAlignment="1">
      <alignment wrapText="1"/>
    </xf>
    <xf numFmtId="2" fontId="0" fillId="0" borderId="20" xfId="0" applyNumberFormat="1" applyBorder="1"/>
    <xf numFmtId="2" fontId="0" fillId="0" borderId="124" xfId="0" applyNumberFormat="1" applyBorder="1"/>
    <xf numFmtId="9" fontId="9" fillId="10" borderId="19" xfId="4" applyFont="1" applyFill="1" applyBorder="1" applyAlignment="1">
      <alignment wrapText="1"/>
    </xf>
    <xf numFmtId="9" fontId="9" fillId="10" borderId="123" xfId="4" applyFont="1" applyFill="1" applyBorder="1" applyAlignment="1">
      <alignment wrapText="1"/>
    </xf>
    <xf numFmtId="9" fontId="9" fillId="10" borderId="19" xfId="4" applyFont="1" applyFill="1" applyBorder="1"/>
    <xf numFmtId="9" fontId="9" fillId="10" borderId="123" xfId="4" applyFont="1" applyFill="1" applyBorder="1"/>
    <xf numFmtId="0" fontId="9" fillId="10" borderId="0" xfId="0" applyFont="1" applyFill="1" applyAlignment="1">
      <alignment wrapText="1"/>
    </xf>
    <xf numFmtId="4" fontId="9" fillId="10" borderId="0" xfId="0" applyNumberFormat="1" applyFont="1" applyFill="1" applyAlignment="1">
      <alignment wrapText="1"/>
    </xf>
    <xf numFmtId="0" fontId="9" fillId="0" borderId="0" xfId="0" applyFont="1" applyFill="1"/>
    <xf numFmtId="0" fontId="9" fillId="10" borderId="20" xfId="0" applyFont="1" applyFill="1" applyBorder="1" applyAlignment="1">
      <alignment horizontal="right" wrapText="1"/>
    </xf>
    <xf numFmtId="0" fontId="9" fillId="10" borderId="19" xfId="0" applyFont="1" applyFill="1" applyBorder="1" applyAlignment="1">
      <alignment horizontal="right" wrapText="1"/>
    </xf>
    <xf numFmtId="0" fontId="9" fillId="10" borderId="122" xfId="0" applyFont="1" applyFill="1" applyBorder="1" applyAlignment="1">
      <alignment horizontal="right"/>
    </xf>
    <xf numFmtId="0" fontId="9" fillId="10" borderId="116" xfId="0" applyFont="1" applyFill="1" applyBorder="1" applyAlignment="1">
      <alignment horizontal="right"/>
    </xf>
    <xf numFmtId="4" fontId="0" fillId="0" borderId="0" xfId="0" applyNumberFormat="1" applyBorder="1" applyAlignment="1">
      <alignment wrapText="1"/>
    </xf>
    <xf numFmtId="2" fontId="0" fillId="0" borderId="0" xfId="0" applyNumberFormat="1" applyBorder="1" applyAlignment="1">
      <alignment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right" wrapText="1"/>
    </xf>
    <xf numFmtId="4" fontId="9" fillId="0" borderId="0" xfId="0" applyNumberFormat="1" applyFont="1" applyBorder="1" applyAlignment="1">
      <alignment wrapText="1"/>
    </xf>
    <xf numFmtId="9" fontId="9" fillId="19" borderId="20" xfId="4" applyFont="1" applyFill="1" applyBorder="1" applyAlignment="1">
      <alignment wrapText="1"/>
    </xf>
    <xf numFmtId="2" fontId="0" fillId="0" borderId="0" xfId="0" applyNumberFormat="1" applyBorder="1"/>
    <xf numFmtId="9" fontId="9" fillId="19" borderId="21" xfId="4" applyFont="1" applyFill="1" applyBorder="1" applyAlignment="1">
      <alignment wrapText="1"/>
    </xf>
    <xf numFmtId="2" fontId="0" fillId="0" borderId="21" xfId="0" applyNumberFormat="1" applyBorder="1" applyAlignment="1">
      <alignment wrapText="1"/>
    </xf>
    <xf numFmtId="2" fontId="0" fillId="0" borderId="21" xfId="0" applyNumberFormat="1" applyBorder="1"/>
    <xf numFmtId="9" fontId="9" fillId="19" borderId="123" xfId="4" applyFont="1" applyFill="1" applyBorder="1" applyAlignment="1">
      <alignment wrapText="1"/>
    </xf>
    <xf numFmtId="9" fontId="9" fillId="19" borderId="124" xfId="4" applyFont="1" applyFill="1" applyBorder="1" applyAlignment="1">
      <alignment wrapText="1"/>
    </xf>
    <xf numFmtId="9" fontId="9" fillId="19" borderId="116" xfId="4" applyFont="1" applyFill="1" applyBorder="1" applyAlignment="1">
      <alignment wrapText="1"/>
    </xf>
    <xf numFmtId="0" fontId="42" fillId="14" borderId="15" xfId="0" applyFont="1" applyFill="1" applyBorder="1"/>
    <xf numFmtId="0" fontId="0" fillId="17" borderId="60" xfId="0" applyFill="1" applyBorder="1"/>
    <xf numFmtId="0" fontId="0" fillId="17" borderId="22" xfId="0" applyFill="1" applyBorder="1"/>
    <xf numFmtId="0" fontId="0" fillId="17" borderId="86" xfId="0" applyFill="1" applyBorder="1"/>
    <xf numFmtId="0" fontId="0" fillId="17" borderId="114" xfId="0" applyFill="1" applyBorder="1"/>
    <xf numFmtId="0" fontId="37" fillId="12" borderId="13" xfId="0" applyFont="1" applyFill="1" applyBorder="1" applyAlignment="1">
      <alignment horizontal="center" vertical="center" wrapText="1"/>
    </xf>
    <xf numFmtId="0" fontId="39" fillId="17" borderId="135" xfId="0" applyFont="1" applyFill="1" applyBorder="1" applyAlignment="1">
      <alignment vertical="center"/>
    </xf>
    <xf numFmtId="0" fontId="39" fillId="17" borderId="134" xfId="0" applyFont="1" applyFill="1" applyBorder="1" applyAlignment="1">
      <alignment vertical="center"/>
    </xf>
    <xf numFmtId="0" fontId="37" fillId="12" borderId="23" xfId="0" applyFont="1" applyFill="1" applyBorder="1" applyAlignment="1">
      <alignment vertical="center"/>
    </xf>
    <xf numFmtId="0" fontId="37" fillId="12" borderId="8" xfId="0" applyFont="1" applyFill="1" applyBorder="1" applyAlignment="1">
      <alignment vertical="center" wrapText="1"/>
    </xf>
    <xf numFmtId="0" fontId="37" fillId="12" borderId="14" xfId="0" applyFont="1" applyFill="1" applyBorder="1" applyAlignment="1">
      <alignment vertical="center"/>
    </xf>
    <xf numFmtId="0" fontId="37" fillId="12" borderId="13" xfId="0" applyFont="1" applyFill="1" applyBorder="1" applyAlignment="1">
      <alignment vertical="center"/>
    </xf>
    <xf numFmtId="0" fontId="37" fillId="12" borderId="14" xfId="0" applyFont="1" applyFill="1" applyBorder="1" applyAlignment="1">
      <alignment horizontal="center" vertical="center" wrapText="1"/>
    </xf>
    <xf numFmtId="0" fontId="37" fillId="12" borderId="23" xfId="0" applyFont="1" applyFill="1" applyBorder="1" applyAlignment="1">
      <alignment horizontal="center" vertical="center" wrapText="1"/>
    </xf>
    <xf numFmtId="0" fontId="37" fillId="12" borderId="24" xfId="0" applyFont="1" applyFill="1" applyBorder="1" applyAlignment="1">
      <alignment horizontal="center" vertical="center" wrapText="1"/>
    </xf>
    <xf numFmtId="0" fontId="37" fillId="12" borderId="0" xfId="0" applyFont="1" applyFill="1" applyBorder="1" applyAlignment="1">
      <alignment horizontal="center" vertical="center" wrapText="1"/>
    </xf>
    <xf numFmtId="0" fontId="36" fillId="0" borderId="24" xfId="0" applyFont="1" applyBorder="1" applyAlignment="1">
      <alignment horizontal="center" vertical="center"/>
    </xf>
    <xf numFmtId="0" fontId="36" fillId="0" borderId="0" xfId="0" applyFont="1" applyBorder="1" applyAlignment="1">
      <alignment horizontal="center" vertical="center"/>
    </xf>
    <xf numFmtId="0" fontId="36" fillId="0" borderId="130" xfId="0" applyFont="1" applyBorder="1" applyAlignment="1">
      <alignment horizontal="center" vertical="center"/>
    </xf>
    <xf numFmtId="0" fontId="42" fillId="14" borderId="26" xfId="0" applyFont="1" applyFill="1" applyBorder="1" applyAlignment="1">
      <alignment horizontal="center" vertical="center"/>
    </xf>
    <xf numFmtId="0" fontId="44" fillId="0" borderId="24" xfId="0" applyFont="1" applyFill="1" applyBorder="1" applyAlignment="1">
      <alignment horizontal="center" vertical="center"/>
    </xf>
    <xf numFmtId="0" fontId="44" fillId="0" borderId="0" xfId="0" applyFont="1" applyFill="1" applyBorder="1" applyAlignment="1">
      <alignment horizontal="center" vertical="center"/>
    </xf>
    <xf numFmtId="0" fontId="44" fillId="0" borderId="6" xfId="0" applyFont="1" applyFill="1" applyBorder="1" applyAlignment="1">
      <alignment horizontal="center" vertical="center"/>
    </xf>
    <xf numFmtId="0" fontId="37" fillId="12" borderId="6" xfId="0" applyFont="1" applyFill="1" applyBorder="1" applyAlignment="1">
      <alignment horizontal="center" vertical="center" wrapText="1"/>
    </xf>
    <xf numFmtId="2" fontId="42" fillId="14" borderId="30" xfId="0" applyNumberFormat="1" applyFont="1" applyFill="1" applyBorder="1" applyAlignment="1">
      <alignment horizontal="center" vertical="center"/>
    </xf>
    <xf numFmtId="0" fontId="37" fillId="12" borderId="6" xfId="0" applyFont="1" applyFill="1" applyBorder="1" applyAlignment="1">
      <alignment horizontal="center" vertical="top" wrapText="1"/>
    </xf>
    <xf numFmtId="0" fontId="37" fillId="12" borderId="14" xfId="0" applyFont="1" applyFill="1" applyBorder="1" applyAlignment="1">
      <alignment horizontal="center" vertical="center"/>
    </xf>
    <xf numFmtId="0" fontId="37" fillId="12" borderId="23" xfId="0" applyFont="1" applyFill="1" applyBorder="1" applyAlignment="1">
      <alignment horizontal="center" vertical="center"/>
    </xf>
    <xf numFmtId="0" fontId="37" fillId="12" borderId="13" xfId="0" applyFont="1" applyFill="1" applyBorder="1" applyAlignment="1">
      <alignment horizontal="center" vertical="center"/>
    </xf>
    <xf numFmtId="0" fontId="37" fillId="12" borderId="24" xfId="0" applyFont="1" applyFill="1" applyBorder="1" applyAlignment="1">
      <alignment horizontal="center" vertical="center"/>
    </xf>
    <xf numFmtId="0" fontId="37" fillId="12" borderId="0" xfId="0" applyFont="1" applyFill="1" applyBorder="1" applyAlignment="1">
      <alignment horizontal="center" vertical="center"/>
    </xf>
    <xf numFmtId="0" fontId="37" fillId="12" borderId="6" xfId="0" applyFont="1" applyFill="1" applyBorder="1" applyAlignment="1">
      <alignment horizontal="center" vertical="center"/>
    </xf>
    <xf numFmtId="0" fontId="42" fillId="14" borderId="29" xfId="0" applyFont="1" applyFill="1" applyBorder="1" applyAlignment="1">
      <alignment horizontal="center" vertical="center"/>
    </xf>
    <xf numFmtId="0" fontId="36" fillId="17" borderId="130" xfId="0" applyFont="1" applyFill="1" applyBorder="1" applyAlignment="1">
      <alignment horizontal="center" vertical="center"/>
    </xf>
    <xf numFmtId="0" fontId="36" fillId="17" borderId="133" xfId="0" applyFont="1" applyFill="1" applyBorder="1" applyAlignment="1">
      <alignment horizontal="center" vertical="center"/>
    </xf>
    <xf numFmtId="0" fontId="37" fillId="12" borderId="8" xfId="0" applyFont="1" applyFill="1" applyBorder="1" applyAlignment="1">
      <alignment horizontal="left" vertical="center"/>
    </xf>
    <xf numFmtId="0" fontId="37" fillId="12" borderId="23" xfId="0" applyFont="1" applyFill="1" applyBorder="1" applyAlignment="1">
      <alignment horizontal="left" vertical="center"/>
    </xf>
    <xf numFmtId="0" fontId="41" fillId="17" borderId="135" xfId="0" applyFont="1" applyFill="1" applyBorder="1" applyAlignment="1">
      <alignment horizontal="left" vertical="center"/>
    </xf>
    <xf numFmtId="0" fontId="39" fillId="17" borderId="135" xfId="0" applyFont="1" applyFill="1" applyBorder="1" applyAlignment="1">
      <alignment horizontal="left" vertical="center"/>
    </xf>
    <xf numFmtId="0" fontId="40" fillId="17" borderId="135" xfId="0" applyFont="1" applyFill="1" applyBorder="1" applyAlignment="1">
      <alignment horizontal="left" vertical="center"/>
    </xf>
    <xf numFmtId="0" fontId="42" fillId="14" borderId="15" xfId="0" applyFont="1" applyFill="1" applyBorder="1" applyAlignment="1">
      <alignment horizontal="left" vertical="center"/>
    </xf>
    <xf numFmtId="3" fontId="8" fillId="4" borderId="143" xfId="2" applyNumberFormat="1" applyBorder="1" applyAlignment="1">
      <alignment horizontal="right" vertical="top" wrapText="1"/>
    </xf>
    <xf numFmtId="3" fontId="15" fillId="5" borderId="100" xfId="3" applyNumberFormat="1" applyFont="1" applyBorder="1" applyAlignment="1">
      <alignment horizontal="right" vertical="top" wrapText="1"/>
    </xf>
    <xf numFmtId="3" fontId="15" fillId="5" borderId="144" xfId="3" applyNumberFormat="1" applyFont="1" applyBorder="1" applyAlignment="1">
      <alignment horizontal="right" vertical="top" wrapText="1"/>
    </xf>
    <xf numFmtId="3" fontId="15" fillId="5" borderId="145" xfId="3" applyNumberFormat="1" applyFont="1" applyBorder="1" applyAlignment="1">
      <alignment horizontal="right" vertical="top" wrapText="1"/>
    </xf>
    <xf numFmtId="3" fontId="8" fillId="4" borderId="146" xfId="2" applyNumberFormat="1" applyBorder="1" applyAlignment="1">
      <alignment vertical="top" wrapText="1"/>
    </xf>
    <xf numFmtId="3" fontId="15" fillId="5" borderId="100" xfId="3" applyNumberFormat="1" applyFont="1" applyBorder="1" applyAlignment="1">
      <alignment vertical="top" wrapText="1"/>
    </xf>
    <xf numFmtId="3" fontId="15" fillId="5" borderId="144" xfId="3" applyNumberFormat="1" applyFont="1" applyBorder="1" applyAlignment="1">
      <alignment vertical="top" wrapText="1"/>
    </xf>
    <xf numFmtId="3" fontId="15" fillId="5" borderId="145" xfId="3" applyNumberFormat="1" applyFont="1" applyBorder="1" applyAlignment="1">
      <alignment vertical="top" wrapText="1"/>
    </xf>
    <xf numFmtId="3" fontId="8" fillId="4" borderId="106" xfId="2" applyNumberFormat="1" applyBorder="1" applyAlignment="1">
      <alignment horizontal="right" vertical="top" wrapText="1"/>
    </xf>
    <xf numFmtId="3" fontId="8" fillId="4" borderId="108" xfId="2" applyNumberFormat="1" applyBorder="1" applyAlignment="1">
      <alignment vertical="top" wrapText="1"/>
    </xf>
    <xf numFmtId="0" fontId="0" fillId="0" borderId="0" xfId="0" applyAlignment="1">
      <alignment horizontal="center"/>
    </xf>
    <xf numFmtId="0" fontId="9" fillId="19" borderId="0" xfId="0" applyFont="1" applyFill="1"/>
    <xf numFmtId="0" fontId="9" fillId="19" borderId="0" xfId="0" applyFont="1" applyFill="1" applyAlignment="1">
      <alignment horizontal="left"/>
    </xf>
    <xf numFmtId="0" fontId="9" fillId="0" borderId="69" xfId="0" applyFont="1" applyBorder="1" applyAlignment="1">
      <alignment horizontal="center" vertical="center" wrapText="1"/>
    </xf>
    <xf numFmtId="0" fontId="34" fillId="0" borderId="150" xfId="0" applyFont="1" applyBorder="1" applyAlignment="1">
      <alignment horizontal="center" wrapText="1"/>
    </xf>
    <xf numFmtId="0" fontId="34" fillId="0" borderId="152" xfId="0" applyFont="1" applyBorder="1" applyAlignment="1">
      <alignment wrapText="1"/>
    </xf>
    <xf numFmtId="0" fontId="9" fillId="0" borderId="0" xfId="0" applyFont="1" applyFill="1" applyBorder="1" applyAlignment="1">
      <alignment horizontal="center"/>
    </xf>
    <xf numFmtId="0" fontId="9" fillId="0" borderId="0" xfId="0" applyFont="1" applyFill="1" applyBorder="1" applyAlignment="1">
      <alignment vertical="center"/>
    </xf>
    <xf numFmtId="0" fontId="9" fillId="0" borderId="0" xfId="0" applyFont="1" applyFill="1" applyBorder="1" applyAlignment="1"/>
    <xf numFmtId="0" fontId="9" fillId="0" borderId="153" xfId="0" applyFont="1" applyBorder="1" applyAlignment="1">
      <alignment horizontal="center" vertical="center" wrapText="1"/>
    </xf>
    <xf numFmtId="0" fontId="9" fillId="0" borderId="0" xfId="0" applyFont="1" applyFill="1" applyBorder="1" applyAlignment="1">
      <alignment horizontal="center" vertical="center"/>
    </xf>
    <xf numFmtId="0" fontId="0" fillId="0" borderId="0" xfId="0" applyFill="1" applyBorder="1" applyAlignment="1"/>
    <xf numFmtId="0" fontId="0" fillId="0" borderId="0" xfId="0" applyFill="1" applyBorder="1" applyAlignment="1">
      <alignment horizontal="center"/>
    </xf>
    <xf numFmtId="0" fontId="9" fillId="0" borderId="147" xfId="0" applyFont="1" applyBorder="1" applyAlignment="1">
      <alignment horizontal="center" vertical="center" wrapText="1"/>
    </xf>
    <xf numFmtId="0" fontId="0" fillId="0" borderId="0" xfId="0" applyFill="1" applyBorder="1" applyAlignment="1">
      <alignment horizontal="left"/>
    </xf>
    <xf numFmtId="0" fontId="0" fillId="0" borderId="147" xfId="0" applyFont="1" applyBorder="1" applyAlignment="1">
      <alignment horizontal="center" vertical="center" wrapText="1"/>
    </xf>
    <xf numFmtId="0" fontId="0" fillId="0" borderId="148" xfId="0" applyFont="1" applyBorder="1" applyAlignment="1">
      <alignment horizontal="center" vertical="center" wrapText="1"/>
    </xf>
    <xf numFmtId="0" fontId="0" fillId="17" borderId="113" xfId="0" applyFill="1" applyBorder="1"/>
    <xf numFmtId="0" fontId="38" fillId="0" borderId="24" xfId="0" applyFont="1" applyFill="1" applyBorder="1" applyAlignment="1">
      <alignment horizontal="left" vertical="center"/>
    </xf>
    <xf numFmtId="0" fontId="0" fillId="17" borderId="114" xfId="0" applyFill="1" applyBorder="1" applyAlignment="1">
      <alignment horizontal="center"/>
    </xf>
    <xf numFmtId="0" fontId="0" fillId="17" borderId="22" xfId="0" applyFill="1" applyBorder="1" applyAlignment="1">
      <alignment horizontal="center"/>
    </xf>
    <xf numFmtId="0" fontId="0" fillId="17" borderId="113" xfId="0" applyFill="1" applyBorder="1" applyAlignment="1">
      <alignment horizontal="center"/>
    </xf>
    <xf numFmtId="0" fontId="34" fillId="0" borderId="149" xfId="0" applyFont="1" applyBorder="1" applyAlignment="1">
      <alignment horizontal="center" wrapText="1"/>
    </xf>
    <xf numFmtId="0" fontId="0" fillId="17" borderId="124" xfId="0" applyFill="1" applyBorder="1" applyAlignment="1">
      <alignment horizontal="center"/>
    </xf>
    <xf numFmtId="0" fontId="35" fillId="9" borderId="69" xfId="0" applyFont="1" applyFill="1" applyBorder="1" applyAlignment="1">
      <alignment horizontal="left" vertical="top"/>
    </xf>
    <xf numFmtId="0" fontId="0" fillId="17" borderId="153" xfId="0" applyFill="1" applyBorder="1" applyAlignment="1"/>
    <xf numFmtId="0" fontId="0" fillId="17" borderId="147" xfId="0" applyFill="1" applyBorder="1" applyAlignment="1">
      <alignment horizontal="left"/>
    </xf>
    <xf numFmtId="0" fontId="0" fillId="17" borderId="147" xfId="0" applyFill="1" applyBorder="1" applyAlignment="1">
      <alignment horizontal="center"/>
    </xf>
    <xf numFmtId="0" fontId="0" fillId="17" borderId="148" xfId="0" applyFill="1" applyBorder="1"/>
    <xf numFmtId="0" fontId="34" fillId="0" borderId="151" xfId="0" applyFont="1" applyBorder="1" applyAlignment="1">
      <alignment wrapText="1"/>
    </xf>
    <xf numFmtId="0" fontId="0" fillId="17" borderId="123" xfId="0" applyFill="1" applyBorder="1" applyAlignment="1">
      <alignment horizontal="center"/>
    </xf>
    <xf numFmtId="0" fontId="0" fillId="17" borderId="125" xfId="0" applyFill="1" applyBorder="1" applyAlignment="1">
      <alignment horizontal="center"/>
    </xf>
    <xf numFmtId="0" fontId="0" fillId="17" borderId="125" xfId="0" applyFill="1" applyBorder="1"/>
    <xf numFmtId="0" fontId="34" fillId="0" borderId="29" xfId="0" applyFont="1" applyBorder="1" applyAlignment="1">
      <alignment horizontal="center" wrapText="1"/>
    </xf>
    <xf numFmtId="0" fontId="0" fillId="17" borderId="153" xfId="0" applyFill="1" applyBorder="1" applyAlignment="1">
      <alignment horizontal="center"/>
    </xf>
    <xf numFmtId="0" fontId="0" fillId="17" borderId="22" xfId="0" applyFill="1" applyBorder="1" applyAlignment="1">
      <alignment horizontal="center" vertical="top" wrapText="1"/>
    </xf>
    <xf numFmtId="0" fontId="60" fillId="0" borderId="0" xfId="0" applyFont="1"/>
    <xf numFmtId="2" fontId="42" fillId="14" borderId="69" xfId="0" applyNumberFormat="1" applyFont="1" applyFill="1" applyBorder="1" applyAlignment="1">
      <alignment horizontal="center" vertical="center"/>
    </xf>
    <xf numFmtId="2" fontId="42" fillId="14" borderId="29" xfId="0" applyNumberFormat="1" applyFont="1" applyFill="1" applyBorder="1" applyAlignment="1">
      <alignment horizontal="center" vertical="center"/>
    </xf>
    <xf numFmtId="0" fontId="37" fillId="12" borderId="80" xfId="0" applyFont="1" applyFill="1" applyBorder="1" applyAlignment="1">
      <alignment horizontal="center" vertical="top" wrapText="1"/>
    </xf>
    <xf numFmtId="0" fontId="37" fillId="12" borderId="6" xfId="0" applyFont="1" applyFill="1" applyBorder="1" applyAlignment="1">
      <alignment vertical="center"/>
    </xf>
    <xf numFmtId="0" fontId="37" fillId="12" borderId="0" xfId="0" applyFont="1" applyFill="1" applyBorder="1" applyAlignment="1">
      <alignment vertical="center"/>
    </xf>
    <xf numFmtId="0" fontId="37" fillId="12" borderId="24" xfId="0" applyFont="1" applyFill="1" applyBorder="1" applyAlignment="1">
      <alignment vertical="center"/>
    </xf>
    <xf numFmtId="0" fontId="37" fillId="12" borderId="80" xfId="0" applyFont="1" applyFill="1" applyBorder="1" applyAlignment="1">
      <alignment vertical="center" wrapText="1"/>
    </xf>
    <xf numFmtId="0" fontId="9" fillId="9" borderId="154" xfId="0" applyFont="1" applyFill="1" applyBorder="1"/>
    <xf numFmtId="0" fontId="9" fillId="9" borderId="150" xfId="0" applyFont="1" applyFill="1" applyBorder="1"/>
    <xf numFmtId="0" fontId="9" fillId="9" borderId="152" xfId="0" applyFont="1" applyFill="1" applyBorder="1"/>
    <xf numFmtId="0" fontId="0" fillId="25" borderId="114" xfId="0" applyFill="1" applyBorder="1"/>
    <xf numFmtId="0" fontId="0" fillId="25" borderId="22" xfId="0" applyFill="1" applyBorder="1"/>
    <xf numFmtId="0" fontId="34" fillId="17" borderId="22" xfId="0" applyFont="1" applyFill="1" applyBorder="1"/>
    <xf numFmtId="0" fontId="44" fillId="17" borderId="156" xfId="0" applyFont="1" applyFill="1" applyBorder="1" applyAlignment="1">
      <alignment horizontal="center" vertical="center"/>
    </xf>
    <xf numFmtId="0" fontId="44" fillId="17" borderId="157" xfId="0" applyFont="1" applyFill="1" applyBorder="1" applyAlignment="1">
      <alignment horizontal="center" vertical="center"/>
    </xf>
    <xf numFmtId="0" fontId="44" fillId="17" borderId="158" xfId="0" applyFont="1" applyFill="1" applyBorder="1" applyAlignment="1">
      <alignment horizontal="center" vertical="center"/>
    </xf>
    <xf numFmtId="0" fontId="44" fillId="17" borderId="159" xfId="0" applyFont="1" applyFill="1" applyBorder="1" applyAlignment="1">
      <alignment horizontal="center" vertical="center"/>
    </xf>
    <xf numFmtId="0" fontId="44" fillId="17" borderId="160" xfId="0" applyFont="1" applyFill="1" applyBorder="1" applyAlignment="1">
      <alignment horizontal="center" vertical="center"/>
    </xf>
    <xf numFmtId="0" fontId="44" fillId="17" borderId="161" xfId="0" applyFont="1" applyFill="1" applyBorder="1" applyAlignment="1">
      <alignment horizontal="center" vertical="center"/>
    </xf>
    <xf numFmtId="0" fontId="44" fillId="17" borderId="162" xfId="0" applyFont="1" applyFill="1" applyBorder="1" applyAlignment="1">
      <alignment horizontal="center" vertical="center"/>
    </xf>
    <xf numFmtId="0" fontId="44" fillId="17" borderId="163" xfId="0" applyFont="1" applyFill="1" applyBorder="1" applyAlignment="1">
      <alignment horizontal="center" vertical="center"/>
    </xf>
    <xf numFmtId="0" fontId="44" fillId="17" borderId="164" xfId="0" applyFont="1" applyFill="1" applyBorder="1" applyAlignment="1">
      <alignment horizontal="center" vertical="center"/>
    </xf>
    <xf numFmtId="0" fontId="0" fillId="25" borderId="22" xfId="0" applyFill="1" applyBorder="1" applyAlignment="1">
      <alignment wrapText="1"/>
    </xf>
    <xf numFmtId="0" fontId="63" fillId="21" borderId="114" xfId="6" applyFont="1" applyFill="1" applyBorder="1" applyAlignment="1">
      <alignment vertical="center"/>
    </xf>
    <xf numFmtId="0" fontId="63" fillId="21" borderId="22" xfId="6" applyFont="1" applyFill="1" applyBorder="1" applyAlignment="1">
      <alignment vertical="center"/>
    </xf>
    <xf numFmtId="0" fontId="0" fillId="17" borderId="22" xfId="0" applyFill="1" applyBorder="1" applyAlignment="1">
      <alignment wrapText="1"/>
    </xf>
    <xf numFmtId="0" fontId="9" fillId="0" borderId="60" xfId="0" applyFont="1" applyBorder="1" applyAlignment="1">
      <alignment horizontal="center"/>
    </xf>
    <xf numFmtId="0" fontId="9" fillId="0" borderId="0" xfId="0" applyFont="1" applyAlignment="1">
      <alignment vertical="top" wrapText="1"/>
    </xf>
    <xf numFmtId="0" fontId="9" fillId="0" borderId="0" xfId="0" applyFont="1" applyAlignment="1">
      <alignment vertical="top"/>
    </xf>
    <xf numFmtId="0" fontId="9" fillId="19" borderId="125" xfId="0" applyFont="1" applyFill="1" applyBorder="1" applyProtection="1"/>
    <xf numFmtId="0" fontId="9" fillId="19" borderId="34" xfId="0" applyFont="1" applyFill="1" applyBorder="1" applyProtection="1"/>
    <xf numFmtId="0" fontId="9" fillId="19" borderId="113" xfId="0" applyFont="1" applyFill="1" applyBorder="1" applyProtection="1"/>
    <xf numFmtId="166" fontId="9" fillId="19" borderId="22" xfId="5" applyNumberFormat="1" applyFont="1" applyFill="1" applyBorder="1" applyProtection="1"/>
    <xf numFmtId="0" fontId="9" fillId="0" borderId="125" xfId="0" applyFont="1" applyBorder="1" applyProtection="1"/>
    <xf numFmtId="0" fontId="9" fillId="22" borderId="34" xfId="0" applyFont="1" applyFill="1" applyBorder="1" applyProtection="1"/>
    <xf numFmtId="0" fontId="9" fillId="22" borderId="113" xfId="0" applyFont="1" applyFill="1" applyBorder="1" applyProtection="1"/>
    <xf numFmtId="0" fontId="9" fillId="21" borderId="125" xfId="0" applyFont="1" applyFill="1" applyBorder="1" applyProtection="1"/>
    <xf numFmtId="0" fontId="9" fillId="21" borderId="34" xfId="0" applyFont="1" applyFill="1" applyBorder="1" applyProtection="1"/>
    <xf numFmtId="0" fontId="0" fillId="21" borderId="113" xfId="0" applyFont="1" applyFill="1" applyBorder="1" applyProtection="1"/>
    <xf numFmtId="0" fontId="9" fillId="21" borderId="122" xfId="0" applyFont="1" applyFill="1" applyBorder="1" applyProtection="1"/>
    <xf numFmtId="0" fontId="9" fillId="21" borderId="18" xfId="0" applyFont="1" applyFill="1" applyBorder="1" applyProtection="1"/>
    <xf numFmtId="0" fontId="0" fillId="21" borderId="116" xfId="0" applyFont="1" applyFill="1" applyBorder="1" applyProtection="1"/>
    <xf numFmtId="4" fontId="15" fillId="5" borderId="41" xfId="3" applyNumberFormat="1" applyFont="1" applyBorder="1" applyAlignment="1" applyProtection="1">
      <alignment horizontal="right" vertical="top" wrapText="1"/>
      <protection locked="0"/>
    </xf>
    <xf numFmtId="4" fontId="15" fillId="5" borderId="17" xfId="3" applyNumberFormat="1" applyFont="1" applyAlignment="1" applyProtection="1">
      <alignment horizontal="right" vertical="top" wrapText="1"/>
      <protection locked="0"/>
    </xf>
    <xf numFmtId="4" fontId="15" fillId="5" borderId="104" xfId="3" applyNumberFormat="1" applyFont="1" applyBorder="1" applyAlignment="1" applyProtection="1">
      <alignment horizontal="right" vertical="top" wrapText="1"/>
      <protection locked="0"/>
    </xf>
    <xf numFmtId="4" fontId="15" fillId="5" borderId="101" xfId="3" applyNumberFormat="1" applyFont="1" applyBorder="1" applyAlignment="1" applyProtection="1">
      <alignment horizontal="right" vertical="top" wrapText="1"/>
      <protection locked="0"/>
    </xf>
    <xf numFmtId="0" fontId="0" fillId="18" borderId="0" xfId="0" applyFill="1" applyAlignment="1" applyProtection="1">
      <alignment horizontal="left" vertical="top" wrapText="1"/>
    </xf>
    <xf numFmtId="0" fontId="34" fillId="0" borderId="0" xfId="0" applyFont="1" applyFill="1" applyAlignment="1" applyProtection="1">
      <alignment horizontal="left" vertical="top" wrapText="1"/>
    </xf>
    <xf numFmtId="0" fontId="0" fillId="0" borderId="0" xfId="0" applyFill="1" applyAlignment="1" applyProtection="1">
      <alignment horizontal="left" vertical="top" wrapText="1"/>
    </xf>
    <xf numFmtId="0" fontId="0" fillId="18" borderId="24" xfId="0" applyFill="1" applyBorder="1" applyAlignment="1" applyProtection="1">
      <alignment horizontal="center" vertical="top" wrapText="1"/>
    </xf>
    <xf numFmtId="0" fontId="0" fillId="18" borderId="0" xfId="0" applyFill="1" applyBorder="1" applyAlignment="1" applyProtection="1">
      <alignment horizontal="center" vertical="top" wrapText="1"/>
    </xf>
    <xf numFmtId="0" fontId="0" fillId="18" borderId="6" xfId="0" applyFill="1" applyBorder="1" applyAlignment="1" applyProtection="1">
      <alignment horizontal="center" vertical="top" wrapText="1"/>
    </xf>
    <xf numFmtId="0" fontId="10" fillId="18" borderId="0" xfId="0" applyFont="1" applyFill="1" applyAlignment="1" applyProtection="1">
      <alignment horizontal="left" vertical="top" wrapText="1"/>
    </xf>
    <xf numFmtId="0" fontId="10" fillId="18" borderId="0" xfId="0" applyFont="1" applyFill="1" applyBorder="1" applyAlignment="1" applyProtection="1">
      <alignment horizontal="left" vertical="top" wrapText="1"/>
    </xf>
    <xf numFmtId="0" fontId="10" fillId="18" borderId="15" xfId="0" applyFont="1" applyFill="1" applyBorder="1" applyAlignment="1" applyProtection="1">
      <alignment horizontal="left" vertical="top" wrapText="1"/>
    </xf>
    <xf numFmtId="0" fontId="10" fillId="18" borderId="26" xfId="0" applyFont="1" applyFill="1" applyBorder="1" applyAlignment="1" applyProtection="1">
      <alignment horizontal="left" vertical="top" wrapText="1"/>
    </xf>
    <xf numFmtId="0" fontId="10" fillId="18" borderId="5" xfId="0" applyFont="1" applyFill="1" applyBorder="1" applyAlignment="1" applyProtection="1">
      <alignment horizontal="left" vertical="top" wrapText="1"/>
    </xf>
    <xf numFmtId="0" fontId="10" fillId="18" borderId="0" xfId="0" applyFont="1" applyFill="1" applyBorder="1" applyAlignment="1" applyProtection="1">
      <alignment horizontal="center" vertical="top" wrapText="1"/>
    </xf>
    <xf numFmtId="0" fontId="10" fillId="18" borderId="27" xfId="0" applyFont="1" applyFill="1" applyBorder="1" applyAlignment="1" applyProtection="1">
      <alignment horizontal="center" vertical="top" wrapText="1"/>
    </xf>
    <xf numFmtId="0" fontId="10" fillId="18" borderId="19" xfId="0" applyFont="1" applyFill="1" applyBorder="1" applyAlignment="1" applyProtection="1">
      <alignment horizontal="center" vertical="top" wrapText="1"/>
    </xf>
    <xf numFmtId="0" fontId="10" fillId="18" borderId="5" xfId="0" applyFont="1" applyFill="1" applyBorder="1" applyAlignment="1" applyProtection="1">
      <alignment horizontal="center" vertical="top" wrapText="1"/>
    </xf>
    <xf numFmtId="0" fontId="13" fillId="0" borderId="0" xfId="0" applyFont="1" applyFill="1" applyAlignment="1" applyProtection="1">
      <alignment horizontal="left" vertical="top" wrapText="1"/>
    </xf>
    <xf numFmtId="0" fontId="10" fillId="0" borderId="0" xfId="0" applyFont="1" applyFill="1" applyAlignment="1" applyProtection="1">
      <alignment horizontal="left" vertical="top" wrapText="1"/>
    </xf>
    <xf numFmtId="0" fontId="0" fillId="0" borderId="13" xfId="0" applyBorder="1" applyAlignment="1" applyProtection="1">
      <alignment horizontal="left" vertical="top" wrapText="1"/>
    </xf>
    <xf numFmtId="168" fontId="0" fillId="0" borderId="14" xfId="5" applyNumberFormat="1" applyFont="1" applyBorder="1" applyAlignment="1" applyProtection="1">
      <alignment horizontal="center" vertical="center" wrapText="1"/>
    </xf>
    <xf numFmtId="168" fontId="0" fillId="0" borderId="23" xfId="5" applyNumberFormat="1" applyFont="1" applyBorder="1" applyAlignment="1" applyProtection="1">
      <alignment horizontal="center" vertical="center" wrapText="1"/>
    </xf>
    <xf numFmtId="168" fontId="0" fillId="0" borderId="13" xfId="5" applyNumberFormat="1" applyFont="1" applyBorder="1" applyAlignment="1" applyProtection="1">
      <alignment horizontal="center" vertical="center" wrapText="1"/>
    </xf>
    <xf numFmtId="168" fontId="15" fillId="5" borderId="84" xfId="5" applyNumberFormat="1" applyFont="1" applyFill="1" applyBorder="1" applyAlignment="1" applyProtection="1">
      <alignment horizontal="center" vertical="center" wrapText="1"/>
    </xf>
    <xf numFmtId="168" fontId="15" fillId="5" borderId="53" xfId="5" applyNumberFormat="1" applyFont="1" applyFill="1" applyBorder="1" applyAlignment="1" applyProtection="1">
      <alignment horizontal="center" vertical="center" wrapText="1"/>
    </xf>
    <xf numFmtId="168" fontId="58" fillId="20" borderId="53" xfId="5" applyNumberFormat="1" applyFont="1" applyFill="1" applyBorder="1" applyAlignment="1" applyProtection="1">
      <alignment horizontal="center" vertical="center" wrapText="1"/>
    </xf>
    <xf numFmtId="168" fontId="15" fillId="5" borderId="100" xfId="5" applyNumberFormat="1" applyFont="1" applyFill="1" applyBorder="1" applyAlignment="1" applyProtection="1">
      <alignment horizontal="center" vertical="center" wrapText="1"/>
    </xf>
    <xf numFmtId="168" fontId="58" fillId="20" borderId="54" xfId="5" applyNumberFormat="1" applyFont="1" applyFill="1" applyBorder="1" applyAlignment="1" applyProtection="1">
      <alignment horizontal="center" vertical="center" wrapText="1"/>
    </xf>
    <xf numFmtId="9" fontId="34" fillId="0" borderId="0" xfId="4" applyFont="1" applyAlignment="1" applyProtection="1">
      <alignment horizontal="left" vertical="top" wrapText="1"/>
    </xf>
    <xf numFmtId="0" fontId="0" fillId="0" borderId="0" xfId="0" applyAlignment="1" applyProtection="1">
      <alignment horizontal="left" vertical="top" wrapText="1"/>
    </xf>
    <xf numFmtId="0" fontId="0" fillId="0" borderId="6" xfId="0" applyBorder="1" applyAlignment="1" applyProtection="1">
      <alignment horizontal="left" vertical="top" wrapText="1"/>
    </xf>
    <xf numFmtId="168" fontId="0" fillId="0" borderId="24" xfId="5" applyNumberFormat="1" applyFont="1" applyBorder="1" applyAlignment="1" applyProtection="1">
      <alignment horizontal="center" vertical="center" wrapText="1"/>
    </xf>
    <xf numFmtId="168" fontId="0" fillId="0" borderId="0" xfId="5" applyNumberFormat="1" applyFont="1" applyBorder="1" applyAlignment="1" applyProtection="1">
      <alignment horizontal="center" vertical="center" wrapText="1"/>
    </xf>
    <xf numFmtId="168" fontId="0" fillId="0" borderId="6" xfId="5" applyNumberFormat="1" applyFont="1" applyBorder="1" applyAlignment="1" applyProtection="1">
      <alignment horizontal="center" vertical="center" wrapText="1"/>
    </xf>
    <xf numFmtId="168" fontId="15" fillId="5" borderId="41" xfId="5" applyNumberFormat="1" applyFont="1" applyFill="1" applyBorder="1" applyAlignment="1" applyProtection="1">
      <alignment horizontal="center" vertical="center" wrapText="1"/>
    </xf>
    <xf numFmtId="168" fontId="15" fillId="5" borderId="17" xfId="5" applyNumberFormat="1" applyFont="1" applyFill="1" applyBorder="1" applyAlignment="1" applyProtection="1">
      <alignment horizontal="center" vertical="center" wrapText="1"/>
    </xf>
    <xf numFmtId="168" fontId="58" fillId="20" borderId="17" xfId="5" applyNumberFormat="1" applyFont="1" applyFill="1" applyBorder="1" applyAlignment="1" applyProtection="1">
      <alignment horizontal="center" vertical="center" wrapText="1"/>
    </xf>
    <xf numFmtId="168" fontId="15" fillId="5" borderId="127" xfId="5" applyNumberFormat="1" applyFont="1" applyFill="1" applyBorder="1" applyAlignment="1" applyProtection="1">
      <alignment horizontal="center" vertical="center" wrapText="1"/>
    </xf>
    <xf numFmtId="168" fontId="58" fillId="20" borderId="98" xfId="5" applyNumberFormat="1" applyFont="1" applyFill="1" applyBorder="1" applyAlignment="1" applyProtection="1">
      <alignment horizontal="center" vertical="center" wrapText="1"/>
    </xf>
    <xf numFmtId="0" fontId="0" fillId="0" borderId="5" xfId="0" applyBorder="1" applyAlignment="1" applyProtection="1">
      <alignment horizontal="left" vertical="top" wrapText="1"/>
    </xf>
    <xf numFmtId="168" fontId="0" fillId="0" borderId="15" xfId="5" applyNumberFormat="1" applyFont="1" applyBorder="1" applyAlignment="1" applyProtection="1">
      <alignment horizontal="center" vertical="center" wrapText="1"/>
    </xf>
    <xf numFmtId="168" fontId="0" fillId="0" borderId="26" xfId="5" applyNumberFormat="1" applyFont="1" applyBorder="1" applyAlignment="1" applyProtection="1">
      <alignment horizontal="center" vertical="center" wrapText="1"/>
    </xf>
    <xf numFmtId="168" fontId="0" fillId="0" borderId="5" xfId="5" applyNumberFormat="1" applyFont="1" applyBorder="1" applyAlignment="1" applyProtection="1">
      <alignment horizontal="center" vertical="center" wrapText="1"/>
    </xf>
    <xf numFmtId="168" fontId="15" fillId="5" borderId="85" xfId="5" applyNumberFormat="1" applyFont="1" applyFill="1" applyBorder="1" applyAlignment="1" applyProtection="1">
      <alignment horizontal="center" vertical="center" wrapText="1"/>
    </xf>
    <xf numFmtId="168" fontId="15" fillId="5" borderId="56" xfId="5" applyNumberFormat="1" applyFont="1" applyFill="1" applyBorder="1" applyAlignment="1" applyProtection="1">
      <alignment horizontal="center" vertical="center" wrapText="1"/>
    </xf>
    <xf numFmtId="168" fontId="58" fillId="20" borderId="56" xfId="5" applyNumberFormat="1" applyFont="1" applyFill="1" applyBorder="1" applyAlignment="1" applyProtection="1">
      <alignment horizontal="center" vertical="center" wrapText="1"/>
    </xf>
    <xf numFmtId="168" fontId="15" fillId="5" borderId="128" xfId="5" applyNumberFormat="1" applyFont="1" applyFill="1" applyBorder="1" applyAlignment="1" applyProtection="1">
      <alignment horizontal="center" vertical="center" wrapText="1"/>
    </xf>
    <xf numFmtId="168" fontId="58" fillId="20" borderId="99" xfId="5" applyNumberFormat="1" applyFont="1" applyFill="1" applyBorder="1" applyAlignment="1" applyProtection="1">
      <alignment horizontal="center" vertical="center" wrapText="1"/>
    </xf>
    <xf numFmtId="169" fontId="0" fillId="0" borderId="14" xfId="0" applyNumberFormat="1" applyBorder="1" applyAlignment="1" applyProtection="1">
      <alignment horizontal="center" vertical="center" wrapText="1"/>
    </xf>
    <xf numFmtId="169" fontId="0" fillId="0" borderId="23" xfId="0" applyNumberFormat="1" applyBorder="1" applyAlignment="1" applyProtection="1">
      <alignment horizontal="center" vertical="center" wrapText="1"/>
    </xf>
    <xf numFmtId="169" fontId="0" fillId="0" borderId="13" xfId="0" applyNumberFormat="1" applyBorder="1" applyAlignment="1" applyProtection="1">
      <alignment horizontal="center" vertical="center" wrapText="1"/>
    </xf>
    <xf numFmtId="169" fontId="15" fillId="5" borderId="84" xfId="3" applyNumberFormat="1" applyFont="1" applyBorder="1" applyAlignment="1" applyProtection="1">
      <alignment horizontal="center" vertical="center" wrapText="1"/>
    </xf>
    <xf numFmtId="169" fontId="15" fillId="5" borderId="53" xfId="3" applyNumberFormat="1" applyFont="1" applyBorder="1" applyAlignment="1" applyProtection="1">
      <alignment horizontal="center" vertical="center" wrapText="1"/>
    </xf>
    <xf numFmtId="169" fontId="58" fillId="20" borderId="53" xfId="3" applyNumberFormat="1" applyFont="1" applyFill="1" applyBorder="1" applyAlignment="1" applyProtection="1">
      <alignment horizontal="center" vertical="center" wrapText="1"/>
    </xf>
    <xf numFmtId="169" fontId="15" fillId="5" borderId="129" xfId="3" applyNumberFormat="1" applyFont="1" applyBorder="1" applyAlignment="1" applyProtection="1">
      <alignment horizontal="center" vertical="center" wrapText="1"/>
    </xf>
    <xf numFmtId="169" fontId="58" fillId="20" borderId="97" xfId="3" applyNumberFormat="1" applyFont="1" applyFill="1" applyBorder="1" applyAlignment="1" applyProtection="1">
      <alignment horizontal="center" vertical="center" wrapText="1"/>
    </xf>
    <xf numFmtId="169" fontId="0" fillId="0" borderId="24" xfId="0" applyNumberFormat="1" applyBorder="1" applyAlignment="1" applyProtection="1">
      <alignment horizontal="center" vertical="center" wrapText="1"/>
    </xf>
    <xf numFmtId="169" fontId="0" fillId="0" borderId="0" xfId="0" applyNumberFormat="1" applyBorder="1" applyAlignment="1" applyProtection="1">
      <alignment horizontal="center" vertical="center" wrapText="1"/>
    </xf>
    <xf numFmtId="169" fontId="0" fillId="0" borderId="6" xfId="0" applyNumberFormat="1" applyBorder="1" applyAlignment="1" applyProtection="1">
      <alignment horizontal="center" vertical="center" wrapText="1"/>
    </xf>
    <xf numFmtId="169" fontId="15" fillId="5" borderId="41" xfId="3" applyNumberFormat="1" applyFont="1" applyBorder="1" applyAlignment="1" applyProtection="1">
      <alignment horizontal="center" vertical="center" wrapText="1"/>
    </xf>
    <xf numFmtId="169" fontId="15" fillId="5" borderId="17" xfId="3" applyNumberFormat="1" applyFont="1" applyBorder="1" applyAlignment="1" applyProtection="1">
      <alignment horizontal="center" vertical="center" wrapText="1"/>
    </xf>
    <xf numFmtId="169" fontId="58" fillId="20" borderId="17" xfId="3" applyNumberFormat="1" applyFont="1" applyFill="1" applyBorder="1" applyAlignment="1" applyProtection="1">
      <alignment horizontal="center" vertical="center" wrapText="1"/>
    </xf>
    <xf numFmtId="169" fontId="15" fillId="5" borderId="127" xfId="3" applyNumberFormat="1" applyFont="1" applyBorder="1" applyAlignment="1" applyProtection="1">
      <alignment horizontal="center" vertical="center" wrapText="1"/>
    </xf>
    <xf numFmtId="169" fontId="58" fillId="20" borderId="98" xfId="3" applyNumberFormat="1" applyFont="1" applyFill="1" applyBorder="1" applyAlignment="1" applyProtection="1">
      <alignment horizontal="center" vertical="center" wrapText="1"/>
    </xf>
    <xf numFmtId="169" fontId="0" fillId="0" borderId="15" xfId="0" applyNumberFormat="1" applyBorder="1" applyAlignment="1" applyProtection="1">
      <alignment horizontal="center" vertical="center" wrapText="1"/>
    </xf>
    <xf numFmtId="169" fontId="0" fillId="0" borderId="26" xfId="0" applyNumberFormat="1" applyBorder="1" applyAlignment="1" applyProtection="1">
      <alignment horizontal="center" vertical="center" wrapText="1"/>
    </xf>
    <xf numFmtId="169" fontId="0" fillId="0" borderId="5" xfId="0" applyNumberFormat="1" applyBorder="1" applyAlignment="1" applyProtection="1">
      <alignment horizontal="center" vertical="center" wrapText="1"/>
    </xf>
    <xf numFmtId="169" fontId="15" fillId="5" borderId="85" xfId="3" applyNumberFormat="1" applyFont="1" applyBorder="1" applyAlignment="1" applyProtection="1">
      <alignment horizontal="center" vertical="center" wrapText="1"/>
    </xf>
    <xf numFmtId="169" fontId="15" fillId="5" borderId="56" xfId="3" applyNumberFormat="1" applyFont="1" applyBorder="1" applyAlignment="1" applyProtection="1">
      <alignment horizontal="center" vertical="center" wrapText="1"/>
    </xf>
    <xf numFmtId="169" fontId="58" fillId="20" borderId="56" xfId="3" applyNumberFormat="1" applyFont="1" applyFill="1" applyBorder="1" applyAlignment="1" applyProtection="1">
      <alignment horizontal="center" vertical="center" wrapText="1"/>
    </xf>
    <xf numFmtId="169" fontId="15" fillId="5" borderId="128" xfId="3" applyNumberFormat="1" applyFont="1" applyBorder="1" applyAlignment="1" applyProtection="1">
      <alignment horizontal="center" vertical="center" wrapText="1"/>
    </xf>
    <xf numFmtId="169" fontId="58" fillId="20" borderId="99" xfId="3" applyNumberFormat="1" applyFont="1" applyFill="1" applyBorder="1" applyAlignment="1" applyProtection="1">
      <alignment horizontal="center" vertical="center" wrapText="1"/>
    </xf>
    <xf numFmtId="9" fontId="34" fillId="0" borderId="18" xfId="0" applyNumberFormat="1" applyFont="1" applyBorder="1" applyAlignment="1" applyProtection="1">
      <alignment horizontal="left" vertical="top" wrapText="1"/>
    </xf>
    <xf numFmtId="0" fontId="0" fillId="0" borderId="18" xfId="0" applyBorder="1" applyAlignment="1" applyProtection="1">
      <alignment horizontal="left" vertical="top" wrapText="1"/>
    </xf>
    <xf numFmtId="0" fontId="34" fillId="0" borderId="0" xfId="0" applyFont="1" applyBorder="1" applyAlignment="1" applyProtection="1">
      <alignment horizontal="left" vertical="top" wrapText="1"/>
    </xf>
    <xf numFmtId="0" fontId="0" fillId="0" borderId="0" xfId="0" applyBorder="1" applyAlignment="1" applyProtection="1">
      <alignment horizontal="left" vertical="top" wrapText="1"/>
    </xf>
    <xf numFmtId="0" fontId="34" fillId="0" borderId="21" xfId="0" applyFont="1" applyBorder="1" applyAlignment="1" applyProtection="1">
      <alignment horizontal="left" vertical="top" wrapText="1"/>
    </xf>
    <xf numFmtId="0" fontId="0" fillId="0" borderId="21" xfId="0" applyBorder="1" applyAlignment="1" applyProtection="1">
      <alignment horizontal="left" vertical="top" wrapText="1"/>
    </xf>
    <xf numFmtId="0" fontId="9" fillId="16" borderId="28" xfId="0" applyFont="1" applyFill="1" applyBorder="1" applyAlignment="1" applyProtection="1">
      <alignment horizontal="left" vertical="top" wrapText="1"/>
    </xf>
    <xf numFmtId="0" fontId="0" fillId="16" borderId="29" xfId="0" applyFill="1" applyBorder="1" applyAlignment="1" applyProtection="1">
      <alignment horizontal="left" vertical="top" wrapText="1"/>
    </xf>
    <xf numFmtId="0" fontId="0" fillId="16" borderId="30" xfId="0" applyFill="1" applyBorder="1" applyAlignment="1" applyProtection="1">
      <alignment horizontal="left" vertical="top" wrapText="1"/>
    </xf>
    <xf numFmtId="0" fontId="56" fillId="16" borderId="29" xfId="0" applyFont="1" applyFill="1" applyBorder="1" applyAlignment="1" applyProtection="1">
      <alignment horizontal="left" vertical="top" wrapText="1"/>
    </xf>
    <xf numFmtId="0" fontId="15" fillId="16" borderId="141" xfId="3" applyFont="1" applyFill="1" applyBorder="1" applyAlignment="1" applyProtection="1">
      <alignment horizontal="right" vertical="top" wrapText="1"/>
    </xf>
    <xf numFmtId="0" fontId="58" fillId="16" borderId="141" xfId="3" applyFont="1" applyFill="1" applyBorder="1" applyAlignment="1" applyProtection="1">
      <alignment horizontal="right" vertical="top" wrapText="1"/>
    </xf>
    <xf numFmtId="0" fontId="15" fillId="16" borderId="142" xfId="3" applyFont="1" applyFill="1" applyBorder="1" applyAlignment="1" applyProtection="1">
      <alignment horizontal="right" vertical="top" wrapText="1"/>
    </xf>
    <xf numFmtId="0" fontId="58" fillId="16" borderId="30" xfId="3" applyFont="1" applyFill="1" applyBorder="1" applyAlignment="1" applyProtection="1">
      <alignment horizontal="right" vertical="top" wrapText="1"/>
    </xf>
    <xf numFmtId="0" fontId="0" fillId="7" borderId="6" xfId="0" applyFill="1" applyBorder="1" applyAlignment="1" applyProtection="1">
      <alignment horizontal="left" vertical="top" wrapText="1"/>
    </xf>
    <xf numFmtId="168" fontId="59" fillId="20" borderId="24" xfId="5" applyNumberFormat="1" applyFont="1" applyFill="1" applyBorder="1" applyAlignment="1" applyProtection="1">
      <alignment horizontal="center" vertical="center" wrapText="1"/>
    </xf>
    <xf numFmtId="168" fontId="59" fillId="20" borderId="0" xfId="5" applyNumberFormat="1" applyFont="1" applyFill="1" applyBorder="1" applyAlignment="1" applyProtection="1">
      <alignment horizontal="center" vertical="center" wrapText="1"/>
    </xf>
    <xf numFmtId="168" fontId="59" fillId="20" borderId="6" xfId="5" applyNumberFormat="1" applyFont="1" applyFill="1" applyBorder="1" applyAlignment="1" applyProtection="1">
      <alignment horizontal="center" vertical="center" wrapText="1"/>
    </xf>
    <xf numFmtId="168" fontId="58" fillId="23" borderId="137" xfId="5" applyNumberFormat="1" applyFont="1" applyFill="1" applyBorder="1" applyAlignment="1" applyProtection="1">
      <alignment horizontal="center" vertical="center" wrapText="1"/>
    </xf>
    <xf numFmtId="168" fontId="58" fillId="23" borderId="138" xfId="5" applyNumberFormat="1" applyFont="1" applyFill="1" applyBorder="1" applyAlignment="1" applyProtection="1">
      <alignment horizontal="center" vertical="center" wrapText="1"/>
    </xf>
    <xf numFmtId="168" fontId="58" fillId="20" borderId="138" xfId="5" applyNumberFormat="1" applyFont="1" applyFill="1" applyBorder="1" applyAlignment="1" applyProtection="1">
      <alignment horizontal="center" vertical="center" wrapText="1"/>
    </xf>
    <xf numFmtId="168" fontId="58" fillId="23" borderId="139" xfId="5" applyNumberFormat="1" applyFont="1" applyFill="1" applyBorder="1" applyAlignment="1" applyProtection="1">
      <alignment horizontal="center" vertical="center" wrapText="1"/>
    </xf>
    <xf numFmtId="168" fontId="58" fillId="20" borderId="140" xfId="5" applyNumberFormat="1" applyFont="1" applyFill="1" applyBorder="1" applyAlignment="1" applyProtection="1">
      <alignment horizontal="center" vertical="center" wrapText="1"/>
    </xf>
    <xf numFmtId="9" fontId="34" fillId="0" borderId="24" xfId="0" applyNumberFormat="1" applyFont="1" applyBorder="1" applyAlignment="1" applyProtection="1">
      <alignment horizontal="left" vertical="top" wrapText="1"/>
    </xf>
    <xf numFmtId="168" fontId="58" fillId="23" borderId="41" xfId="5" applyNumberFormat="1" applyFont="1" applyFill="1" applyBorder="1" applyAlignment="1" applyProtection="1">
      <alignment horizontal="center" vertical="center" wrapText="1"/>
    </xf>
    <xf numFmtId="168" fontId="58" fillId="23" borderId="17" xfId="5" applyNumberFormat="1" applyFont="1" applyFill="1" applyBorder="1" applyAlignment="1" applyProtection="1">
      <alignment horizontal="center" vertical="center" wrapText="1"/>
    </xf>
    <xf numFmtId="168" fontId="58" fillId="23" borderId="127" xfId="5" applyNumberFormat="1" applyFont="1" applyFill="1" applyBorder="1" applyAlignment="1" applyProtection="1">
      <alignment horizontal="center" vertical="center" wrapText="1"/>
    </xf>
    <xf numFmtId="0" fontId="0" fillId="7" borderId="5" xfId="0" applyFill="1" applyBorder="1" applyAlignment="1" applyProtection="1">
      <alignment horizontal="left" vertical="top" wrapText="1"/>
    </xf>
    <xf numFmtId="168" fontId="59" fillId="20" borderId="15" xfId="5" applyNumberFormat="1" applyFont="1" applyFill="1" applyBorder="1" applyAlignment="1" applyProtection="1">
      <alignment horizontal="center" vertical="center" wrapText="1"/>
    </xf>
    <xf numFmtId="168" fontId="59" fillId="20" borderId="26" xfId="5" applyNumberFormat="1" applyFont="1" applyFill="1" applyBorder="1" applyAlignment="1" applyProtection="1">
      <alignment horizontal="center" vertical="center" wrapText="1"/>
    </xf>
    <xf numFmtId="168" fontId="59" fillId="20" borderId="5" xfId="5" applyNumberFormat="1" applyFont="1" applyFill="1" applyBorder="1" applyAlignment="1" applyProtection="1">
      <alignment horizontal="center" vertical="center" wrapText="1"/>
    </xf>
    <xf numFmtId="168" fontId="58" fillId="23" borderId="85" xfId="5" applyNumberFormat="1" applyFont="1" applyFill="1" applyBorder="1" applyAlignment="1" applyProtection="1">
      <alignment horizontal="center" vertical="center" wrapText="1"/>
    </xf>
    <xf numFmtId="168" fontId="58" fillId="23" borderId="56" xfId="5" applyNumberFormat="1" applyFont="1" applyFill="1" applyBorder="1" applyAlignment="1" applyProtection="1">
      <alignment horizontal="center" vertical="center" wrapText="1"/>
    </xf>
    <xf numFmtId="168" fontId="58" fillId="23" borderId="128" xfId="5" applyNumberFormat="1" applyFont="1" applyFill="1" applyBorder="1" applyAlignment="1" applyProtection="1">
      <alignment horizontal="center" vertical="center" wrapText="1"/>
    </xf>
    <xf numFmtId="168" fontId="58" fillId="23" borderId="84" xfId="5" applyNumberFormat="1" applyFont="1" applyFill="1" applyBorder="1" applyAlignment="1" applyProtection="1">
      <alignment horizontal="center" vertical="center" wrapText="1"/>
    </xf>
    <xf numFmtId="168" fontId="58" fillId="23" borderId="53" xfId="5" applyNumberFormat="1" applyFont="1" applyFill="1" applyBorder="1" applyAlignment="1" applyProtection="1">
      <alignment horizontal="center" vertical="center" wrapText="1"/>
    </xf>
    <xf numFmtId="168" fontId="58" fillId="23" borderId="129" xfId="5" applyNumberFormat="1" applyFont="1" applyFill="1" applyBorder="1" applyAlignment="1" applyProtection="1">
      <alignment horizontal="center" vertical="center" wrapText="1"/>
    </xf>
    <xf numFmtId="168" fontId="58" fillId="20" borderId="97" xfId="5" applyNumberFormat="1" applyFont="1" applyFill="1" applyBorder="1" applyAlignment="1" applyProtection="1">
      <alignment horizontal="center" vertical="center" wrapText="1"/>
    </xf>
    <xf numFmtId="0" fontId="34" fillId="0" borderId="0" xfId="0" applyFont="1" applyAlignment="1" applyProtection="1">
      <alignment horizontal="left" vertical="top" wrapText="1"/>
    </xf>
    <xf numFmtId="169" fontId="59" fillId="20" borderId="24" xfId="5" applyNumberFormat="1" applyFont="1" applyFill="1" applyBorder="1" applyAlignment="1" applyProtection="1">
      <alignment horizontal="center" vertical="center" wrapText="1"/>
    </xf>
    <xf numFmtId="169" fontId="59" fillId="20" borderId="0" xfId="5" applyNumberFormat="1" applyFont="1" applyFill="1" applyBorder="1" applyAlignment="1" applyProtection="1">
      <alignment horizontal="center" vertical="center" wrapText="1"/>
    </xf>
    <xf numFmtId="169" fontId="59" fillId="20" borderId="6" xfId="5" applyNumberFormat="1" applyFont="1" applyFill="1" applyBorder="1" applyAlignment="1" applyProtection="1">
      <alignment horizontal="center" vertical="center" wrapText="1"/>
    </xf>
    <xf numFmtId="169" fontId="58" fillId="23" borderId="84" xfId="5" applyNumberFormat="1" applyFont="1" applyFill="1" applyBorder="1" applyAlignment="1" applyProtection="1">
      <alignment horizontal="center" vertical="center" wrapText="1"/>
    </xf>
    <xf numFmtId="169" fontId="58" fillId="23" borderId="53" xfId="5" applyNumberFormat="1" applyFont="1" applyFill="1" applyBorder="1" applyAlignment="1" applyProtection="1">
      <alignment horizontal="center" vertical="center" wrapText="1"/>
    </xf>
    <xf numFmtId="169" fontId="58" fillId="20" borderId="53" xfId="5" applyNumberFormat="1" applyFont="1" applyFill="1" applyBorder="1" applyAlignment="1" applyProtection="1">
      <alignment horizontal="center" vertical="center" wrapText="1"/>
    </xf>
    <xf numFmtId="169" fontId="58" fillId="23" borderId="129" xfId="5" applyNumberFormat="1" applyFont="1" applyFill="1" applyBorder="1" applyAlignment="1" applyProtection="1">
      <alignment horizontal="center" vertical="center" wrapText="1"/>
    </xf>
    <xf numFmtId="169" fontId="58" fillId="20" borderId="97" xfId="5" applyNumberFormat="1" applyFont="1" applyFill="1" applyBorder="1" applyAlignment="1" applyProtection="1">
      <alignment horizontal="center" vertical="center" wrapText="1"/>
    </xf>
    <xf numFmtId="169" fontId="58" fillId="23" borderId="41" xfId="5" applyNumberFormat="1" applyFont="1" applyFill="1" applyBorder="1" applyAlignment="1" applyProtection="1">
      <alignment horizontal="center" vertical="center" wrapText="1"/>
    </xf>
    <xf numFmtId="169" fontId="58" fillId="23" borderId="17" xfId="5" applyNumberFormat="1" applyFont="1" applyFill="1" applyBorder="1" applyAlignment="1" applyProtection="1">
      <alignment horizontal="center" vertical="center" wrapText="1"/>
    </xf>
    <xf numFmtId="169" fontId="58" fillId="20" borderId="17" xfId="5" applyNumberFormat="1" applyFont="1" applyFill="1" applyBorder="1" applyAlignment="1" applyProtection="1">
      <alignment horizontal="center" vertical="center" wrapText="1"/>
    </xf>
    <xf numFmtId="169" fontId="58" fillId="23" borderId="127" xfId="5" applyNumberFormat="1" applyFont="1" applyFill="1" applyBorder="1" applyAlignment="1" applyProtection="1">
      <alignment horizontal="center" vertical="center" wrapText="1"/>
    </xf>
    <xf numFmtId="169" fontId="58" fillId="20" borderId="98" xfId="5" applyNumberFormat="1" applyFont="1" applyFill="1" applyBorder="1" applyAlignment="1" applyProtection="1">
      <alignment horizontal="center" vertical="center" wrapText="1"/>
    </xf>
    <xf numFmtId="169" fontId="59" fillId="20" borderId="15" xfId="5" applyNumberFormat="1" applyFont="1" applyFill="1" applyBorder="1" applyAlignment="1" applyProtection="1">
      <alignment horizontal="center" vertical="center" wrapText="1"/>
    </xf>
    <xf numFmtId="169" fontId="59" fillId="20" borderId="26" xfId="5" applyNumberFormat="1" applyFont="1" applyFill="1" applyBorder="1" applyAlignment="1" applyProtection="1">
      <alignment horizontal="center" vertical="center" wrapText="1"/>
    </xf>
    <xf numFmtId="169" fontId="59" fillId="20" borderId="5" xfId="5" applyNumberFormat="1" applyFont="1" applyFill="1" applyBorder="1" applyAlignment="1" applyProtection="1">
      <alignment horizontal="center" vertical="center" wrapText="1"/>
    </xf>
    <xf numFmtId="169" fontId="58" fillId="23" borderId="85" xfId="5" applyNumberFormat="1" applyFont="1" applyFill="1" applyBorder="1" applyAlignment="1" applyProtection="1">
      <alignment horizontal="center" vertical="center" wrapText="1"/>
    </xf>
    <xf numFmtId="169" fontId="58" fillId="23" borderId="56" xfId="5" applyNumberFormat="1" applyFont="1" applyFill="1" applyBorder="1" applyAlignment="1" applyProtection="1">
      <alignment horizontal="center" vertical="center" wrapText="1"/>
    </xf>
    <xf numFmtId="169" fontId="58" fillId="20" borderId="56" xfId="5" applyNumberFormat="1" applyFont="1" applyFill="1" applyBorder="1" applyAlignment="1" applyProtection="1">
      <alignment horizontal="center" vertical="center" wrapText="1"/>
    </xf>
    <xf numFmtId="169" fontId="58" fillId="23" borderId="128" xfId="5" applyNumberFormat="1" applyFont="1" applyFill="1" applyBorder="1" applyAlignment="1" applyProtection="1">
      <alignment horizontal="center" vertical="center" wrapText="1"/>
    </xf>
    <xf numFmtId="169" fontId="58" fillId="20" borderId="99" xfId="5" applyNumberFormat="1" applyFont="1" applyFill="1" applyBorder="1" applyAlignment="1" applyProtection="1">
      <alignment horizontal="center" vertical="center" wrapText="1"/>
    </xf>
    <xf numFmtId="0" fontId="0" fillId="0" borderId="20" xfId="0" applyBorder="1" applyAlignment="1" applyProtection="1">
      <alignment horizontal="left" vertical="top" wrapText="1"/>
    </xf>
    <xf numFmtId="0" fontId="0" fillId="0" borderId="19" xfId="0" applyBorder="1" applyAlignment="1" applyProtection="1">
      <alignment horizontal="left" vertical="top" wrapText="1"/>
    </xf>
    <xf numFmtId="0" fontId="0" fillId="0" borderId="6" xfId="0" applyFont="1" applyBorder="1" applyAlignment="1">
      <alignment horizontal="left"/>
    </xf>
    <xf numFmtId="3" fontId="8" fillId="4" borderId="80" xfId="2" applyNumberFormat="1" applyBorder="1" applyAlignment="1">
      <alignment horizontal="right"/>
    </xf>
    <xf numFmtId="0" fontId="36" fillId="17" borderId="165" xfId="0" applyFont="1" applyFill="1" applyBorder="1" applyAlignment="1">
      <alignment horizontal="center" vertical="center"/>
    </xf>
    <xf numFmtId="0" fontId="36" fillId="0" borderId="165" xfId="0" applyFont="1" applyBorder="1" applyAlignment="1">
      <alignment horizontal="center" vertical="center"/>
    </xf>
    <xf numFmtId="0" fontId="36" fillId="0" borderId="131" xfId="0" applyFont="1" applyFill="1" applyBorder="1" applyAlignment="1">
      <alignment horizontal="center" vertical="center"/>
    </xf>
    <xf numFmtId="0" fontId="36" fillId="0" borderId="130" xfId="0" applyFont="1" applyFill="1" applyBorder="1" applyAlignment="1">
      <alignment horizontal="center" vertical="center"/>
    </xf>
    <xf numFmtId="3" fontId="8" fillId="4" borderId="93" xfId="2" applyNumberFormat="1" applyBorder="1" applyProtection="1">
      <protection locked="0"/>
    </xf>
    <xf numFmtId="3" fontId="8" fillId="4" borderId="36" xfId="2" applyNumberFormat="1" applyBorder="1" applyProtection="1">
      <protection locked="0"/>
    </xf>
    <xf numFmtId="3" fontId="8" fillId="4" borderId="78" xfId="2" applyNumberFormat="1" applyBorder="1" applyProtection="1">
      <protection locked="0"/>
    </xf>
    <xf numFmtId="0" fontId="6" fillId="26" borderId="4" xfId="0" applyFont="1" applyFill="1" applyBorder="1" applyAlignment="1">
      <alignment horizontal="left" vertical="top" wrapText="1"/>
    </xf>
    <xf numFmtId="0" fontId="6" fillId="26" borderId="5" xfId="0" applyFont="1" applyFill="1" applyBorder="1" applyAlignment="1">
      <alignment horizontal="justify" vertical="top" wrapText="1"/>
    </xf>
    <xf numFmtId="0" fontId="6" fillId="26" borderId="5" xfId="0" applyFont="1" applyFill="1" applyBorder="1" applyAlignment="1">
      <alignment horizontal="center" vertical="top" wrapText="1"/>
    </xf>
    <xf numFmtId="0" fontId="6" fillId="26" borderId="6" xfId="0" applyFont="1" applyFill="1" applyBorder="1" applyAlignment="1">
      <alignment horizontal="justify" vertical="top" wrapText="1"/>
    </xf>
    <xf numFmtId="0" fontId="6" fillId="26" borderId="24" xfId="0" applyFont="1" applyFill="1" applyBorder="1" applyAlignment="1">
      <alignment horizontal="left" vertical="top" wrapText="1"/>
    </xf>
    <xf numFmtId="0" fontId="6" fillId="26" borderId="69" xfId="0" applyFont="1" applyFill="1" applyBorder="1" applyAlignment="1">
      <alignment horizontal="justify" vertical="top" wrapText="1"/>
    </xf>
    <xf numFmtId="0" fontId="6" fillId="26" borderId="6" xfId="0" applyFont="1" applyFill="1" applyBorder="1" applyAlignment="1">
      <alignment horizontal="center" vertical="top" wrapText="1"/>
    </xf>
    <xf numFmtId="0" fontId="6" fillId="26" borderId="69" xfId="0" applyFont="1" applyFill="1" applyBorder="1" applyAlignment="1">
      <alignment horizontal="left" vertical="top" wrapText="1"/>
    </xf>
    <xf numFmtId="0" fontId="6" fillId="26" borderId="69" xfId="0" applyFont="1" applyFill="1" applyBorder="1" applyAlignment="1">
      <alignment horizontal="center" vertical="top" wrapText="1"/>
    </xf>
    <xf numFmtId="2" fontId="4" fillId="17" borderId="6" xfId="1" applyNumberFormat="1" applyFont="1" applyFill="1" applyBorder="1" applyAlignment="1">
      <alignment vertical="top" wrapText="1"/>
    </xf>
    <xf numFmtId="2" fontId="4" fillId="17" borderId="69" xfId="1" applyNumberFormat="1" applyFont="1" applyFill="1" applyBorder="1" applyAlignment="1">
      <alignment vertical="top" wrapText="1"/>
    </xf>
    <xf numFmtId="0" fontId="27" fillId="0" borderId="0" xfId="0" applyFont="1" applyAlignment="1" applyProtection="1">
      <alignment vertical="center"/>
    </xf>
    <xf numFmtId="0" fontId="0" fillId="0" borderId="0" xfId="0" applyProtection="1"/>
    <xf numFmtId="166" fontId="9" fillId="19" borderId="147" xfId="5" applyNumberFormat="1" applyFont="1" applyFill="1" applyBorder="1" applyProtection="1"/>
    <xf numFmtId="0" fontId="57" fillId="0" borderId="0" xfId="0" applyFont="1" applyFill="1" applyProtection="1"/>
    <xf numFmtId="0" fontId="9" fillId="0" borderId="125" xfId="0" applyFont="1" applyFill="1" applyBorder="1" applyProtection="1"/>
    <xf numFmtId="0" fontId="0" fillId="0" borderId="125" xfId="0" applyBorder="1" applyProtection="1"/>
    <xf numFmtId="0" fontId="0" fillId="0" borderId="34" xfId="0" applyBorder="1" applyProtection="1"/>
    <xf numFmtId="0" fontId="0" fillId="17" borderId="113" xfId="0" applyFont="1" applyFill="1" applyBorder="1" applyProtection="1"/>
    <xf numFmtId="0" fontId="0" fillId="0" borderId="0" xfId="0" applyFill="1" applyBorder="1" applyProtection="1"/>
    <xf numFmtId="0" fontId="0" fillId="17" borderId="113" xfId="0" applyFill="1" applyBorder="1" applyProtection="1"/>
    <xf numFmtId="0" fontId="0" fillId="0" borderId="0" xfId="0" applyFill="1" applyProtection="1"/>
    <xf numFmtId="0" fontId="0" fillId="0" borderId="0" xfId="0" applyAlignment="1" applyProtection="1"/>
    <xf numFmtId="164" fontId="40" fillId="17" borderId="166" xfId="7" applyFont="1" applyFill="1" applyBorder="1" applyAlignment="1">
      <alignment horizontal="left" vertical="center"/>
    </xf>
    <xf numFmtId="0" fontId="40" fillId="17" borderId="167" xfId="0" applyFont="1" applyFill="1" applyBorder="1" applyAlignment="1">
      <alignment horizontal="left" vertical="center"/>
    </xf>
    <xf numFmtId="164" fontId="40" fillId="17" borderId="169" xfId="7" applyFont="1" applyFill="1" applyBorder="1" applyAlignment="1">
      <alignment horizontal="left" vertical="center"/>
    </xf>
    <xf numFmtId="0" fontId="37" fillId="12" borderId="69" xfId="0" applyFont="1" applyFill="1" applyBorder="1" applyAlignment="1">
      <alignment horizontal="left" vertical="center"/>
    </xf>
    <xf numFmtId="0" fontId="40" fillId="17" borderId="167" xfId="0" applyFont="1" applyFill="1" applyBorder="1" applyAlignment="1">
      <alignment horizontal="center" vertical="center"/>
    </xf>
    <xf numFmtId="0" fontId="40" fillId="17" borderId="135" xfId="0" applyFont="1" applyFill="1" applyBorder="1" applyAlignment="1">
      <alignment horizontal="center" vertical="center"/>
    </xf>
    <xf numFmtId="164" fontId="58" fillId="20" borderId="168" xfId="7" applyFont="1" applyFill="1" applyBorder="1" applyAlignment="1" applyProtection="1">
      <alignment horizontal="center" vertical="center" wrapText="1"/>
    </xf>
    <xf numFmtId="0" fontId="37" fillId="12" borderId="69" xfId="0" applyFont="1" applyFill="1" applyBorder="1" applyAlignment="1">
      <alignment horizontal="center" vertical="center"/>
    </xf>
    <xf numFmtId="164" fontId="40" fillId="17" borderId="167" xfId="7" applyFont="1" applyFill="1" applyBorder="1" applyAlignment="1">
      <alignment horizontal="center" vertical="center"/>
    </xf>
    <xf numFmtId="164" fontId="40" fillId="17" borderId="135" xfId="7" applyFont="1" applyFill="1" applyBorder="1" applyAlignment="1">
      <alignment horizontal="center" vertical="center"/>
    </xf>
    <xf numFmtId="0" fontId="55" fillId="0" borderId="26" xfId="0" applyFont="1" applyBorder="1" applyAlignment="1">
      <alignment horizontal="center" vertical="center"/>
    </xf>
    <xf numFmtId="166" fontId="64" fillId="19" borderId="22" xfId="5" applyNumberFormat="1" applyFont="1" applyFill="1" applyBorder="1" applyProtection="1"/>
    <xf numFmtId="166" fontId="64" fillId="19" borderId="147" xfId="5" applyNumberFormat="1" applyFont="1" applyFill="1" applyBorder="1" applyProtection="1"/>
    <xf numFmtId="166" fontId="59" fillId="22" borderId="22" xfId="5" applyNumberFormat="1" applyFont="1" applyFill="1" applyBorder="1" applyProtection="1"/>
    <xf numFmtId="166" fontId="59" fillId="22" borderId="147" xfId="5" applyNumberFormat="1" applyFont="1" applyFill="1" applyBorder="1" applyProtection="1"/>
    <xf numFmtId="166" fontId="65" fillId="21" borderId="22" xfId="5" applyNumberFormat="1" applyFont="1" applyFill="1" applyBorder="1" applyProtection="1"/>
    <xf numFmtId="166" fontId="65" fillId="21" borderId="147" xfId="5" applyNumberFormat="1" applyFont="1" applyFill="1" applyBorder="1" applyProtection="1"/>
    <xf numFmtId="166" fontId="65" fillId="21" borderId="22" xfId="5" applyNumberFormat="1" applyFont="1" applyFill="1" applyBorder="1" applyAlignment="1" applyProtection="1">
      <alignment horizontal="center"/>
    </xf>
    <xf numFmtId="166" fontId="65" fillId="21" borderId="147" xfId="5" applyNumberFormat="1" applyFont="1" applyFill="1" applyBorder="1" applyAlignment="1" applyProtection="1">
      <alignment horizontal="center"/>
    </xf>
    <xf numFmtId="166" fontId="65" fillId="21" borderId="86" xfId="5" applyNumberFormat="1" applyFont="1" applyFill="1" applyBorder="1" applyProtection="1"/>
    <xf numFmtId="166" fontId="65" fillId="21" borderId="155" xfId="5" applyNumberFormat="1" applyFont="1" applyFill="1" applyBorder="1" applyProtection="1"/>
    <xf numFmtId="166" fontId="65" fillId="21" borderId="148" xfId="5" applyNumberFormat="1" applyFont="1" applyFill="1" applyBorder="1" applyProtection="1"/>
    <xf numFmtId="0" fontId="69" fillId="13" borderId="6" xfId="0" applyFont="1" applyFill="1" applyBorder="1" applyAlignment="1">
      <alignment horizontal="center" vertical="center"/>
    </xf>
    <xf numFmtId="3" fontId="70" fillId="14" borderId="28" xfId="0" applyNumberFormat="1" applyFont="1" applyFill="1" applyBorder="1" applyAlignment="1">
      <alignment horizontal="center" vertical="center"/>
    </xf>
    <xf numFmtId="3" fontId="70" fillId="14" borderId="30" xfId="0" applyNumberFormat="1" applyFont="1" applyFill="1" applyBorder="1" applyAlignment="1">
      <alignment horizontal="center" vertical="center"/>
    </xf>
    <xf numFmtId="0" fontId="69" fillId="22" borderId="24" xfId="0" applyFont="1" applyFill="1" applyBorder="1" applyAlignment="1">
      <alignment horizontal="center" vertical="center"/>
    </xf>
    <xf numFmtId="3" fontId="69" fillId="22" borderId="24" xfId="0" applyNumberFormat="1" applyFont="1" applyFill="1" applyBorder="1" applyAlignment="1">
      <alignment horizontal="center" vertical="center"/>
    </xf>
    <xf numFmtId="3" fontId="69" fillId="22" borderId="6" xfId="0" applyNumberFormat="1" applyFont="1" applyFill="1" applyBorder="1" applyAlignment="1">
      <alignment horizontal="center" vertical="center"/>
    </xf>
    <xf numFmtId="0" fontId="69" fillId="22" borderId="131" xfId="0" applyFont="1" applyFill="1" applyBorder="1" applyAlignment="1">
      <alignment horizontal="center" vertical="center"/>
    </xf>
    <xf numFmtId="0" fontId="69" fillId="22" borderId="130" xfId="0" applyFont="1" applyFill="1" applyBorder="1" applyAlignment="1">
      <alignment horizontal="center" vertical="center"/>
    </xf>
    <xf numFmtId="0" fontId="36" fillId="17" borderId="24" xfId="0" applyFont="1" applyFill="1" applyBorder="1" applyAlignment="1">
      <alignment horizontal="center" vertical="center"/>
    </xf>
    <xf numFmtId="0" fontId="36" fillId="17" borderId="131" xfId="0" applyFont="1" applyFill="1" applyBorder="1" applyAlignment="1">
      <alignment horizontal="center" vertical="center"/>
    </xf>
    <xf numFmtId="0" fontId="36" fillId="17" borderId="132" xfId="0" applyFont="1" applyFill="1" applyBorder="1" applyAlignment="1">
      <alignment horizontal="center" vertical="center"/>
    </xf>
    <xf numFmtId="0" fontId="36" fillId="17" borderId="91" xfId="3" applyFont="1" applyFill="1" applyBorder="1" applyAlignment="1">
      <alignment horizontal="center"/>
    </xf>
    <xf numFmtId="0" fontId="36" fillId="17" borderId="136" xfId="3" applyFont="1" applyFill="1" applyBorder="1" applyAlignment="1">
      <alignment horizontal="center"/>
    </xf>
    <xf numFmtId="0" fontId="36" fillId="17" borderId="92" xfId="3" applyFont="1" applyFill="1" applyBorder="1" applyAlignment="1">
      <alignment horizontal="center"/>
    </xf>
    <xf numFmtId="0" fontId="66" fillId="22" borderId="65" xfId="0" applyFont="1" applyFill="1" applyBorder="1" applyAlignment="1">
      <alignment horizontal="center" vertical="center"/>
    </xf>
    <xf numFmtId="0" fontId="66" fillId="22" borderId="64" xfId="0" applyFont="1" applyFill="1" applyBorder="1" applyAlignment="1">
      <alignment horizontal="center" vertical="center"/>
    </xf>
    <xf numFmtId="0" fontId="59" fillId="22" borderId="119" xfId="0" applyFont="1" applyFill="1" applyBorder="1"/>
    <xf numFmtId="0" fontId="59" fillId="22" borderId="60" xfId="0" applyFont="1" applyFill="1" applyBorder="1"/>
    <xf numFmtId="0" fontId="59" fillId="22" borderId="22" xfId="0" applyFont="1" applyFill="1" applyBorder="1"/>
    <xf numFmtId="0" fontId="59" fillId="22" borderId="113" xfId="0" applyFont="1" applyFill="1" applyBorder="1"/>
    <xf numFmtId="0" fontId="59" fillId="22" borderId="86" xfId="0" applyFont="1" applyFill="1" applyBorder="1"/>
    <xf numFmtId="0" fontId="59" fillId="22" borderId="116" xfId="0" applyFont="1" applyFill="1" applyBorder="1"/>
    <xf numFmtId="0" fontId="59" fillId="22" borderId="115" xfId="0" applyFont="1" applyFill="1" applyBorder="1"/>
    <xf numFmtId="4" fontId="68" fillId="24" borderId="51" xfId="2" applyNumberFormat="1" applyFont="1" applyFill="1" applyBorder="1" applyAlignment="1">
      <alignment horizontal="right" vertical="top" wrapText="1"/>
    </xf>
    <xf numFmtId="4" fontId="68" fillId="24" borderId="42" xfId="2" applyNumberFormat="1" applyFont="1" applyFill="1" applyBorder="1" applyAlignment="1">
      <alignment horizontal="right" vertical="top" wrapText="1"/>
    </xf>
    <xf numFmtId="4" fontId="68" fillId="24" borderId="52" xfId="2" applyNumberFormat="1" applyFont="1" applyFill="1" applyBorder="1" applyAlignment="1">
      <alignment horizontal="right" vertical="top" wrapText="1"/>
    </xf>
    <xf numFmtId="4" fontId="68" fillId="24" borderId="106" xfId="2" applyNumberFormat="1" applyFont="1" applyFill="1" applyBorder="1" applyAlignment="1">
      <alignment horizontal="right" vertical="top" wrapText="1"/>
    </xf>
    <xf numFmtId="4" fontId="68" fillId="24" borderId="95" xfId="2" applyNumberFormat="1" applyFont="1" applyFill="1" applyBorder="1" applyAlignment="1">
      <alignment horizontal="right" vertical="top" wrapText="1"/>
    </xf>
    <xf numFmtId="4" fontId="68" fillId="24" borderId="109" xfId="2" applyNumberFormat="1" applyFont="1" applyFill="1" applyBorder="1" applyAlignment="1">
      <alignment horizontal="right" vertical="top" wrapText="1"/>
    </xf>
    <xf numFmtId="4" fontId="68" fillId="24" borderId="107" xfId="2" applyNumberFormat="1" applyFont="1" applyFill="1" applyBorder="1" applyAlignment="1">
      <alignment horizontal="right" vertical="top" wrapText="1"/>
    </xf>
    <xf numFmtId="4" fontId="68" fillId="24" borderId="46" xfId="2" applyNumberFormat="1" applyFont="1" applyFill="1" applyBorder="1" applyAlignment="1">
      <alignment horizontal="right" vertical="top" wrapText="1"/>
    </xf>
    <xf numFmtId="4" fontId="68" fillId="24" borderId="45" xfId="2" applyNumberFormat="1" applyFont="1" applyFill="1" applyBorder="1" applyAlignment="1">
      <alignment horizontal="right" vertical="top" wrapText="1"/>
    </xf>
    <xf numFmtId="4" fontId="67" fillId="24" borderId="26" xfId="1" applyNumberFormat="1" applyFont="1" applyFill="1" applyBorder="1" applyAlignment="1">
      <alignment horizontal="right" vertical="top" wrapText="1"/>
    </xf>
    <xf numFmtId="4" fontId="68" fillId="24" borderId="44" xfId="2" applyNumberFormat="1" applyFont="1" applyFill="1" applyBorder="1" applyAlignment="1">
      <alignment horizontal="right" vertical="top" wrapText="1"/>
    </xf>
    <xf numFmtId="4" fontId="68" fillId="24" borderId="108" xfId="2" applyNumberFormat="1" applyFont="1" applyFill="1" applyBorder="1" applyAlignment="1">
      <alignment horizontal="right" vertical="top" wrapText="1"/>
    </xf>
    <xf numFmtId="4" fontId="68" fillId="24" borderId="43" xfId="2" applyNumberFormat="1" applyFont="1" applyFill="1" applyBorder="1" applyAlignment="1">
      <alignment horizontal="right" vertical="top" wrapText="1"/>
    </xf>
    <xf numFmtId="0" fontId="68" fillId="24" borderId="70" xfId="0" applyFont="1" applyFill="1" applyBorder="1" applyAlignment="1">
      <alignment horizontal="left" vertical="top" wrapText="1"/>
    </xf>
    <xf numFmtId="166" fontId="68" fillId="24" borderId="110" xfId="5" applyNumberFormat="1" applyFont="1" applyFill="1" applyBorder="1" applyAlignment="1">
      <alignment horizontal="right" vertical="top" wrapText="1"/>
    </xf>
    <xf numFmtId="166" fontId="68" fillId="24" borderId="111" xfId="5" applyNumberFormat="1" applyFont="1" applyFill="1" applyBorder="1" applyAlignment="1">
      <alignment horizontal="right" vertical="top" wrapText="1"/>
    </xf>
    <xf numFmtId="166" fontId="68" fillId="24" borderId="112" xfId="5" applyNumberFormat="1" applyFont="1" applyFill="1" applyBorder="1" applyAlignment="1">
      <alignment horizontal="right" vertical="top" wrapText="1"/>
    </xf>
    <xf numFmtId="166" fontId="68" fillId="24" borderId="47" xfId="5" applyNumberFormat="1" applyFont="1" applyFill="1" applyBorder="1" applyAlignment="1">
      <alignment horizontal="right" vertical="top" wrapText="1"/>
    </xf>
    <xf numFmtId="166" fontId="68" fillId="24" borderId="48" xfId="5" applyNumberFormat="1" applyFont="1" applyFill="1" applyBorder="1" applyAlignment="1">
      <alignment horizontal="right" vertical="top" wrapText="1"/>
    </xf>
    <xf numFmtId="166" fontId="68" fillId="24" borderId="49" xfId="5" applyNumberFormat="1" applyFont="1" applyFill="1" applyBorder="1" applyAlignment="1">
      <alignment horizontal="right" vertical="top" wrapText="1"/>
    </xf>
    <xf numFmtId="0" fontId="42" fillId="14" borderId="26" xfId="0" applyFont="1" applyFill="1" applyBorder="1"/>
    <xf numFmtId="0" fontId="37" fillId="12" borderId="8" xfId="0" applyFont="1" applyFill="1" applyBorder="1" applyAlignment="1">
      <alignment horizontal="center" vertical="center" wrapText="1"/>
    </xf>
    <xf numFmtId="0" fontId="69" fillId="13" borderId="5" xfId="0" applyFont="1" applyFill="1" applyBorder="1" applyAlignment="1">
      <alignment horizontal="center" vertical="center"/>
    </xf>
    <xf numFmtId="0" fontId="44" fillId="17" borderId="170" xfId="0" applyFont="1" applyFill="1" applyBorder="1" applyAlignment="1">
      <alignment horizontal="center" vertical="center"/>
    </xf>
    <xf numFmtId="0" fontId="44" fillId="17" borderId="171" xfId="0" applyFont="1" applyFill="1" applyBorder="1" applyAlignment="1">
      <alignment horizontal="center" vertical="center"/>
    </xf>
    <xf numFmtId="0" fontId="44" fillId="17" borderId="172" xfId="0" applyFont="1" applyFill="1" applyBorder="1" applyAlignment="1">
      <alignment horizontal="center" vertical="center"/>
    </xf>
    <xf numFmtId="0" fontId="44" fillId="17" borderId="173" xfId="0" applyFont="1" applyFill="1" applyBorder="1" applyAlignment="1">
      <alignment horizontal="center" vertical="center"/>
    </xf>
    <xf numFmtId="0" fontId="44" fillId="17" borderId="174" xfId="0" applyFont="1" applyFill="1" applyBorder="1" applyAlignment="1">
      <alignment horizontal="center" vertical="center"/>
    </xf>
    <xf numFmtId="0" fontId="44" fillId="17" borderId="175" xfId="0" applyFont="1" applyFill="1" applyBorder="1" applyAlignment="1">
      <alignment horizontal="center" vertical="center"/>
    </xf>
    <xf numFmtId="0" fontId="44" fillId="17" borderId="176" xfId="0" applyFont="1" applyFill="1" applyBorder="1" applyAlignment="1">
      <alignment horizontal="center" vertical="center"/>
    </xf>
    <xf numFmtId="0" fontId="44" fillId="17" borderId="177" xfId="0" applyFont="1" applyFill="1" applyBorder="1" applyAlignment="1">
      <alignment horizontal="center" vertical="center"/>
    </xf>
    <xf numFmtId="0" fontId="44" fillId="17" borderId="178" xfId="0" applyFont="1" applyFill="1" applyBorder="1" applyAlignment="1">
      <alignment horizontal="center" vertical="center"/>
    </xf>
    <xf numFmtId="0" fontId="9" fillId="0" borderId="89" xfId="0" applyFont="1" applyBorder="1" applyAlignment="1" applyProtection="1">
      <alignment horizontal="center" vertical="center"/>
    </xf>
    <xf numFmtId="166" fontId="65" fillId="0" borderId="122" xfId="5" applyNumberFormat="1" applyFont="1" applyFill="1" applyBorder="1" applyProtection="1"/>
    <xf numFmtId="166" fontId="65" fillId="0" borderId="18" xfId="5" applyNumberFormat="1" applyFont="1" applyFill="1" applyBorder="1" applyProtection="1"/>
    <xf numFmtId="166" fontId="65" fillId="22" borderId="22" xfId="5" applyNumberFormat="1" applyFont="1" applyFill="1" applyBorder="1" applyProtection="1"/>
    <xf numFmtId="166" fontId="34" fillId="0" borderId="23" xfId="5" applyNumberFormat="1" applyFont="1" applyFill="1" applyBorder="1" applyProtection="1"/>
    <xf numFmtId="0" fontId="37" fillId="12" borderId="0" xfId="0" applyFont="1" applyFill="1" applyBorder="1" applyAlignment="1">
      <alignment vertical="center" wrapText="1"/>
    </xf>
    <xf numFmtId="0" fontId="0" fillId="18" borderId="0" xfId="0" applyFill="1" applyBorder="1" applyAlignment="1" applyProtection="1">
      <alignment horizontal="center" vertical="top" wrapText="1"/>
    </xf>
    <xf numFmtId="0" fontId="0" fillId="18" borderId="6" xfId="0" applyFill="1" applyBorder="1" applyAlignment="1" applyProtection="1">
      <alignment horizontal="center" vertical="top" wrapText="1"/>
    </xf>
    <xf numFmtId="0" fontId="0" fillId="18" borderId="24" xfId="0" applyFill="1" applyBorder="1" applyAlignment="1" applyProtection="1">
      <alignment horizontal="center" vertical="top" wrapText="1"/>
    </xf>
    <xf numFmtId="0" fontId="36" fillId="17" borderId="0" xfId="0" applyFont="1" applyFill="1" applyBorder="1"/>
    <xf numFmtId="0" fontId="44" fillId="17" borderId="24" xfId="0" applyFont="1" applyFill="1" applyBorder="1" applyAlignment="1">
      <alignment horizontal="center" vertical="center"/>
    </xf>
    <xf numFmtId="0" fontId="44" fillId="17" borderId="0" xfId="0" applyFont="1" applyFill="1" applyBorder="1" applyAlignment="1">
      <alignment horizontal="center" vertical="center"/>
    </xf>
    <xf numFmtId="0" fontId="44" fillId="17" borderId="6" xfId="0" applyFont="1" applyFill="1" applyBorder="1" applyAlignment="1">
      <alignment horizontal="center" vertical="center"/>
    </xf>
    <xf numFmtId="0" fontId="71" fillId="17" borderId="135" xfId="0" applyFont="1" applyFill="1" applyBorder="1" applyAlignment="1">
      <alignment horizontal="left" vertical="center"/>
    </xf>
    <xf numFmtId="0" fontId="44" fillId="0" borderId="5" xfId="0" applyFont="1" applyFill="1" applyBorder="1" applyAlignment="1">
      <alignment horizontal="center" vertical="center"/>
    </xf>
    <xf numFmtId="0" fontId="40" fillId="17" borderId="135" xfId="0" applyFont="1" applyFill="1" applyBorder="1" applyAlignment="1">
      <alignment horizontal="left" vertical="center" wrapText="1"/>
    </xf>
    <xf numFmtId="0" fontId="38" fillId="0" borderId="0" xfId="0" applyFont="1" applyFill="1" applyBorder="1" applyAlignment="1">
      <alignment vertical="top" wrapText="1"/>
    </xf>
    <xf numFmtId="0" fontId="38" fillId="21" borderId="0" xfId="0" applyFont="1" applyFill="1" applyBorder="1" applyAlignment="1">
      <alignment horizontal="left"/>
    </xf>
    <xf numFmtId="0" fontId="38" fillId="0" borderId="0" xfId="0" applyFont="1" applyFill="1" applyBorder="1" applyAlignment="1">
      <alignment horizontal="left"/>
    </xf>
    <xf numFmtId="0" fontId="69" fillId="22" borderId="6" xfId="0" applyFont="1" applyFill="1" applyBorder="1" applyAlignment="1">
      <alignment horizontal="center" vertical="center"/>
    </xf>
    <xf numFmtId="3" fontId="38" fillId="21" borderId="0" xfId="0" applyNumberFormat="1" applyFont="1" applyFill="1" applyBorder="1" applyAlignment="1">
      <alignment horizontal="left"/>
    </xf>
    <xf numFmtId="3" fontId="36" fillId="0" borderId="0" xfId="0" applyNumberFormat="1" applyFont="1" applyFill="1" applyBorder="1" applyAlignment="1">
      <alignment horizontal="left"/>
    </xf>
    <xf numFmtId="0" fontId="73" fillId="0" borderId="22" xfId="0" applyNumberFormat="1" applyFont="1" applyBorder="1" applyAlignment="1" applyProtection="1">
      <alignment horizontal="center" vertical="center" wrapText="1"/>
    </xf>
    <xf numFmtId="3" fontId="0" fillId="0" borderId="0" xfId="0" applyNumberFormat="1"/>
    <xf numFmtId="0" fontId="74" fillId="16" borderId="22" xfId="0" applyFont="1" applyFill="1" applyBorder="1" applyAlignment="1">
      <alignment vertical="center"/>
    </xf>
    <xf numFmtId="0" fontId="72" fillId="0" borderId="0" xfId="0" applyFont="1"/>
    <xf numFmtId="0" fontId="76" fillId="0" borderId="22" xfId="0" applyFont="1" applyBorder="1" applyAlignment="1">
      <alignment vertical="center"/>
    </xf>
    <xf numFmtId="0" fontId="77" fillId="0" borderId="22" xfId="0" applyFont="1" applyBorder="1" applyAlignment="1">
      <alignment vertical="center"/>
    </xf>
    <xf numFmtId="0" fontId="76" fillId="0" borderId="22" xfId="0" applyFont="1" applyBorder="1" applyAlignment="1">
      <alignment horizontal="right" vertical="center"/>
    </xf>
    <xf numFmtId="0" fontId="76" fillId="28" borderId="22" xfId="0" applyFont="1" applyFill="1" applyBorder="1" applyAlignment="1">
      <alignment horizontal="center" vertical="center" wrapText="1"/>
    </xf>
    <xf numFmtId="0" fontId="72" fillId="0" borderId="22" xfId="0" applyFont="1" applyBorder="1" applyAlignment="1">
      <alignment horizontal="justify" vertical="center" wrapText="1"/>
    </xf>
    <xf numFmtId="0" fontId="72" fillId="0" borderId="22" xfId="0" applyFont="1" applyBorder="1" applyAlignment="1">
      <alignment horizontal="left" vertical="top" wrapText="1"/>
    </xf>
    <xf numFmtId="9" fontId="72" fillId="0" borderId="22" xfId="0" applyNumberFormat="1" applyFont="1" applyBorder="1" applyAlignment="1">
      <alignment horizontal="right" vertical="center" wrapText="1"/>
    </xf>
    <xf numFmtId="0" fontId="78" fillId="27" borderId="22" xfId="0" applyFont="1" applyFill="1" applyBorder="1" applyAlignment="1">
      <alignment horizontal="right" vertical="center" wrapText="1"/>
    </xf>
    <xf numFmtId="170" fontId="75" fillId="0" borderId="0" xfId="0" applyNumberFormat="1" applyFont="1" applyBorder="1" applyAlignment="1" applyProtection="1">
      <alignment horizontal="center" vertical="center"/>
      <protection locked="0"/>
    </xf>
    <xf numFmtId="0" fontId="74" fillId="12" borderId="8" xfId="0" applyFont="1" applyFill="1" applyBorder="1" applyAlignment="1">
      <alignment horizontal="center" vertical="center" wrapText="1"/>
    </xf>
    <xf numFmtId="0" fontId="72" fillId="17" borderId="181" xfId="3" applyFont="1" applyFill="1" applyBorder="1" applyAlignment="1">
      <alignment horizontal="left" vertical="top"/>
    </xf>
    <xf numFmtId="164" fontId="81" fillId="20" borderId="184" xfId="7" applyFont="1" applyFill="1" applyBorder="1" applyAlignment="1" applyProtection="1">
      <alignment horizontal="center" wrapText="1"/>
    </xf>
    <xf numFmtId="164" fontId="79" fillId="20" borderId="182" xfId="7" applyFont="1" applyFill="1" applyBorder="1" applyAlignment="1" applyProtection="1">
      <alignment horizontal="center" vertical="center" wrapText="1"/>
    </xf>
    <xf numFmtId="164" fontId="79" fillId="20" borderId="183" xfId="7" applyFont="1" applyFill="1" applyBorder="1" applyAlignment="1" applyProtection="1">
      <alignment horizontal="center" vertical="center" wrapText="1"/>
    </xf>
    <xf numFmtId="0" fontId="75" fillId="17" borderId="130" xfId="0" applyFont="1" applyFill="1" applyBorder="1" applyAlignment="1">
      <alignment horizontal="left" wrapText="1"/>
    </xf>
    <xf numFmtId="0" fontId="40" fillId="17" borderId="130" xfId="0" applyFont="1" applyFill="1" applyBorder="1" applyAlignment="1">
      <alignment horizontal="left" vertical="top" wrapText="1"/>
    </xf>
    <xf numFmtId="164" fontId="77" fillId="0" borderId="22" xfId="0" applyNumberFormat="1" applyFont="1" applyBorder="1" applyAlignment="1">
      <alignment vertical="center"/>
    </xf>
    <xf numFmtId="10" fontId="72" fillId="0" borderId="22" xfId="0" applyNumberFormat="1" applyFont="1" applyBorder="1" applyAlignment="1">
      <alignment horizontal="right" vertical="center" wrapText="1"/>
    </xf>
    <xf numFmtId="0" fontId="72" fillId="0" borderId="22" xfId="0" applyFont="1" applyBorder="1" applyAlignment="1">
      <alignment horizontal="left" vertical="center" wrapText="1"/>
    </xf>
    <xf numFmtId="0" fontId="72" fillId="17" borderId="181" xfId="3" applyFont="1" applyFill="1" applyBorder="1" applyAlignment="1">
      <alignment horizontal="left" vertical="top" wrapText="1"/>
    </xf>
    <xf numFmtId="171" fontId="72" fillId="0" borderId="22" xfId="0" applyNumberFormat="1" applyFont="1" applyBorder="1" applyAlignment="1">
      <alignment horizontal="right" vertical="center" wrapText="1"/>
    </xf>
    <xf numFmtId="0" fontId="74" fillId="12" borderId="186" xfId="0" applyFont="1" applyFill="1" applyBorder="1" applyAlignment="1">
      <alignment horizontal="center" vertical="center" wrapText="1"/>
    </xf>
    <xf numFmtId="164" fontId="79" fillId="20" borderId="187" xfId="7" applyFont="1" applyFill="1" applyBorder="1" applyAlignment="1" applyProtection="1">
      <alignment horizontal="center" vertical="center" wrapText="1"/>
    </xf>
    <xf numFmtId="164" fontId="79" fillId="20" borderId="188" xfId="7" applyFont="1" applyFill="1" applyBorder="1" applyAlignment="1" applyProtection="1">
      <alignment horizontal="center" vertical="center" wrapText="1"/>
    </xf>
    <xf numFmtId="164" fontId="81" fillId="20" borderId="189" xfId="7" applyFont="1" applyFill="1" applyBorder="1" applyAlignment="1" applyProtection="1">
      <alignment horizontal="center" wrapText="1"/>
    </xf>
    <xf numFmtId="0" fontId="74" fillId="12" borderId="67" xfId="0" applyFont="1" applyFill="1" applyBorder="1" applyAlignment="1">
      <alignment horizontal="center" vertical="center" wrapText="1"/>
    </xf>
    <xf numFmtId="164" fontId="79" fillId="20" borderId="191" xfId="7" applyFont="1" applyFill="1" applyBorder="1" applyAlignment="1" applyProtection="1">
      <alignment horizontal="center" vertical="center" wrapText="1"/>
    </xf>
    <xf numFmtId="164" fontId="79" fillId="20" borderId="192" xfId="7" applyFont="1" applyFill="1" applyBorder="1" applyAlignment="1" applyProtection="1">
      <alignment horizontal="center" vertical="center" wrapText="1"/>
    </xf>
    <xf numFmtId="164" fontId="81" fillId="20" borderId="193" xfId="7" applyFont="1" applyFill="1" applyBorder="1" applyAlignment="1" applyProtection="1">
      <alignment horizontal="center" wrapText="1"/>
    </xf>
    <xf numFmtId="164" fontId="0" fillId="0" borderId="0" xfId="0" applyNumberFormat="1"/>
    <xf numFmtId="3" fontId="31" fillId="0" borderId="0" xfId="0" applyNumberFormat="1" applyFont="1" applyAlignment="1"/>
    <xf numFmtId="0" fontId="84" fillId="17" borderId="130" xfId="0" applyFont="1" applyFill="1" applyBorder="1" applyAlignment="1">
      <alignment horizontal="center" vertical="center"/>
    </xf>
    <xf numFmtId="0" fontId="74" fillId="12" borderId="15" xfId="0" applyFont="1" applyFill="1" applyBorder="1" applyAlignment="1">
      <alignment horizontal="center" vertical="center" wrapText="1"/>
    </xf>
    <xf numFmtId="0" fontId="74" fillId="16" borderId="125" xfId="0" applyFont="1" applyFill="1" applyBorder="1" applyAlignment="1" applyProtection="1">
      <alignment horizontal="center" vertical="center"/>
      <protection locked="0"/>
    </xf>
    <xf numFmtId="3" fontId="15" fillId="5" borderId="17" xfId="5" applyNumberFormat="1" applyFont="1" applyFill="1" applyBorder="1" applyAlignment="1" applyProtection="1">
      <alignment horizontal="center" vertical="center" wrapText="1"/>
    </xf>
    <xf numFmtId="3" fontId="4" fillId="5" borderId="69" xfId="3" applyNumberFormat="1" applyFont="1" applyBorder="1" applyAlignment="1">
      <alignment vertical="top"/>
    </xf>
    <xf numFmtId="0" fontId="18" fillId="8" borderId="62" xfId="0" applyFont="1" applyFill="1" applyBorder="1" applyAlignment="1">
      <alignment horizontal="right" vertical="center" wrapText="1"/>
    </xf>
    <xf numFmtId="0" fontId="18" fillId="8" borderId="34" xfId="0" applyFont="1" applyFill="1" applyBorder="1" applyAlignment="1">
      <alignment horizontal="right" vertical="center" wrapText="1"/>
    </xf>
    <xf numFmtId="0" fontId="18" fillId="17" borderId="22" xfId="0" applyFont="1" applyFill="1" applyBorder="1" applyAlignment="1">
      <alignment horizontal="center" vertical="center" wrapText="1"/>
    </xf>
    <xf numFmtId="0" fontId="18" fillId="17" borderId="38" xfId="0" applyFont="1" applyFill="1" applyBorder="1" applyAlignment="1">
      <alignment horizontal="center" vertical="center" wrapText="1"/>
    </xf>
    <xf numFmtId="0" fontId="17" fillId="0" borderId="0" xfId="0" applyFont="1" applyBorder="1" applyAlignment="1">
      <alignment horizontal="center" wrapText="1"/>
    </xf>
    <xf numFmtId="0" fontId="27" fillId="0" borderId="0" xfId="0" applyFont="1" applyAlignment="1">
      <alignment horizontal="center" wrapText="1"/>
    </xf>
    <xf numFmtId="0" fontId="18" fillId="8" borderId="58" xfId="0" applyFont="1" applyFill="1" applyBorder="1" applyAlignment="1">
      <alignment horizontal="right" vertical="center" wrapText="1"/>
    </xf>
    <xf numFmtId="0" fontId="18" fillId="8" borderId="59" xfId="0" applyFont="1" applyFill="1" applyBorder="1" applyAlignment="1">
      <alignment horizontal="right" vertical="center" wrapText="1"/>
    </xf>
    <xf numFmtId="0" fontId="19" fillId="17" borderId="60" xfId="0" applyFont="1" applyFill="1" applyBorder="1" applyAlignment="1">
      <alignment horizontal="center" vertical="center" wrapText="1"/>
    </xf>
    <xf numFmtId="0" fontId="19" fillId="17" borderId="61" xfId="0" applyFont="1" applyFill="1" applyBorder="1" applyAlignment="1">
      <alignment horizontal="center" vertical="center" wrapText="1"/>
    </xf>
    <xf numFmtId="0" fontId="22" fillId="0" borderId="23" xfId="0" applyFont="1" applyBorder="1" applyAlignment="1">
      <alignment horizontal="center" vertical="center" wrapText="1"/>
    </xf>
    <xf numFmtId="0" fontId="22" fillId="0" borderId="0" xfId="0" applyFont="1" applyBorder="1" applyAlignment="1">
      <alignment horizontal="center" vertical="center" wrapText="1"/>
    </xf>
    <xf numFmtId="0" fontId="23" fillId="5" borderId="53" xfId="3" applyFont="1" applyBorder="1" applyAlignment="1">
      <alignment horizontal="center" vertical="center" wrapText="1"/>
    </xf>
    <xf numFmtId="0" fontId="23" fillId="5" borderId="56" xfId="3" applyFont="1" applyBorder="1" applyAlignment="1">
      <alignment horizontal="center" vertical="center" wrapText="1"/>
    </xf>
    <xf numFmtId="0" fontId="25" fillId="3" borderId="67" xfId="1" applyFont="1" applyBorder="1" applyAlignment="1">
      <alignment horizontal="center" vertical="center" wrapText="1"/>
    </xf>
    <xf numFmtId="0" fontId="25" fillId="3" borderId="68" xfId="1" applyFont="1" applyBorder="1" applyAlignment="1">
      <alignment horizontal="center" vertical="center" wrapText="1"/>
    </xf>
    <xf numFmtId="0" fontId="26" fillId="0" borderId="0" xfId="0" applyFont="1" applyBorder="1" applyAlignment="1">
      <alignment horizontal="center"/>
    </xf>
    <xf numFmtId="0" fontId="20" fillId="17" borderId="22" xfId="0" applyFont="1" applyFill="1" applyBorder="1" applyAlignment="1">
      <alignment horizontal="left" vertical="center" wrapText="1"/>
    </xf>
    <xf numFmtId="0" fontId="20" fillId="17" borderId="38" xfId="0" applyFont="1" applyFill="1" applyBorder="1" applyAlignment="1">
      <alignment horizontal="left" vertical="center" wrapText="1"/>
    </xf>
    <xf numFmtId="0" fontId="18" fillId="8" borderId="63" xfId="0" applyFont="1" applyFill="1" applyBorder="1" applyAlignment="1">
      <alignment horizontal="right" vertical="center" wrapText="1"/>
    </xf>
    <xf numFmtId="0" fontId="18" fillId="8" borderId="64" xfId="0" applyFont="1" applyFill="1" applyBorder="1" applyAlignment="1">
      <alignment horizontal="right" vertical="center" wrapText="1"/>
    </xf>
    <xf numFmtId="0" fontId="20" fillId="17" borderId="65" xfId="0" applyFont="1" applyFill="1" applyBorder="1" applyAlignment="1">
      <alignment horizontal="left" vertical="center"/>
    </xf>
    <xf numFmtId="0" fontId="20" fillId="17" borderId="66" xfId="0" applyFont="1" applyFill="1" applyBorder="1" applyAlignment="1">
      <alignment horizontal="left" vertical="center"/>
    </xf>
    <xf numFmtId="0" fontId="21" fillId="0" borderId="0" xfId="0" applyFont="1" applyBorder="1" applyAlignment="1">
      <alignment horizontal="center"/>
    </xf>
    <xf numFmtId="0" fontId="22" fillId="8" borderId="14" xfId="0" applyFont="1" applyFill="1" applyBorder="1" applyAlignment="1">
      <alignment horizontal="center" vertical="center" wrapText="1"/>
    </xf>
    <xf numFmtId="0" fontId="22" fillId="8" borderId="13" xfId="0" applyFont="1" applyFill="1" applyBorder="1" applyAlignment="1">
      <alignment horizontal="center" vertical="center" wrapText="1"/>
    </xf>
    <xf numFmtId="0" fontId="22" fillId="8" borderId="15" xfId="0" applyFont="1" applyFill="1" applyBorder="1" applyAlignment="1">
      <alignment horizontal="center" vertical="center" wrapText="1"/>
    </xf>
    <xf numFmtId="0" fontId="22" fillId="8" borderId="5" xfId="0" applyFont="1" applyFill="1" applyBorder="1" applyAlignment="1">
      <alignment horizontal="center" vertical="center" wrapText="1"/>
    </xf>
    <xf numFmtId="0" fontId="22" fillId="0" borderId="26" xfId="0" applyFont="1" applyBorder="1" applyAlignment="1">
      <alignment horizontal="center" vertical="center" wrapText="1"/>
    </xf>
    <xf numFmtId="0" fontId="24" fillId="4" borderId="52" xfId="2" applyFont="1" applyBorder="1" applyAlignment="1">
      <alignment horizontal="center" vertical="center" wrapText="1"/>
    </xf>
    <xf numFmtId="0" fontId="24" fillId="4" borderId="44" xfId="2" applyFont="1" applyBorder="1" applyAlignment="1">
      <alignment horizontal="center" vertical="center" wrapText="1"/>
    </xf>
    <xf numFmtId="0" fontId="35" fillId="19" borderId="21" xfId="0" applyFont="1" applyFill="1" applyBorder="1" applyAlignment="1" applyProtection="1">
      <alignment horizontal="center" vertical="center"/>
    </xf>
    <xf numFmtId="0" fontId="9" fillId="0" borderId="125" xfId="0" applyFont="1" applyBorder="1" applyAlignment="1" applyProtection="1">
      <alignment horizontal="center"/>
    </xf>
    <xf numFmtId="0" fontId="9" fillId="0" borderId="34" xfId="0" applyFont="1" applyBorder="1" applyAlignment="1" applyProtection="1">
      <alignment horizontal="center"/>
    </xf>
    <xf numFmtId="0" fontId="9" fillId="0" borderId="113" xfId="0" applyFont="1" applyBorder="1" applyAlignment="1" applyProtection="1">
      <alignment horizontal="center"/>
    </xf>
    <xf numFmtId="0" fontId="0" fillId="6" borderId="25" xfId="0" applyFill="1" applyBorder="1" applyAlignment="1">
      <alignment horizontal="center" vertical="top" wrapText="1"/>
    </xf>
    <xf numFmtId="0" fontId="0" fillId="6" borderId="5" xfId="0" applyFill="1" applyBorder="1" applyAlignment="1">
      <alignment horizontal="center" vertical="top" wrapText="1"/>
    </xf>
    <xf numFmtId="0" fontId="10" fillId="6" borderId="28" xfId="0" applyFont="1" applyFill="1" applyBorder="1" applyAlignment="1">
      <alignment horizontal="center" vertical="top" wrapText="1"/>
    </xf>
    <xf numFmtId="0" fontId="10" fillId="6" borderId="29" xfId="0" applyFont="1" applyFill="1" applyBorder="1" applyAlignment="1">
      <alignment horizontal="center" vertical="top" wrapText="1"/>
    </xf>
    <xf numFmtId="0" fontId="10" fillId="6" borderId="30" xfId="0" applyFont="1" applyFill="1" applyBorder="1" applyAlignment="1">
      <alignment horizontal="center" vertical="top" wrapText="1"/>
    </xf>
    <xf numFmtId="0" fontId="10" fillId="6" borderId="14" xfId="0" applyFont="1" applyFill="1" applyBorder="1" applyAlignment="1">
      <alignment horizontal="center" vertical="top" wrapText="1"/>
    </xf>
    <xf numFmtId="0" fontId="10" fillId="6" borderId="23" xfId="0" applyFont="1" applyFill="1" applyBorder="1" applyAlignment="1">
      <alignment horizontal="center" vertical="top" wrapText="1"/>
    </xf>
    <xf numFmtId="0" fontId="10" fillId="6" borderId="13" xfId="0" applyFont="1" applyFill="1" applyBorder="1" applyAlignment="1">
      <alignment horizontal="center" vertical="top" wrapText="1"/>
    </xf>
    <xf numFmtId="0" fontId="0" fillId="6" borderId="31" xfId="0" applyFill="1" applyBorder="1" applyAlignment="1">
      <alignment horizontal="center" vertical="top" wrapText="1"/>
    </xf>
    <xf numFmtId="0" fontId="0" fillId="6" borderId="13" xfId="0" applyFill="1" applyBorder="1" applyAlignment="1">
      <alignment horizontal="center" vertical="top" wrapText="1"/>
    </xf>
    <xf numFmtId="0" fontId="9" fillId="19" borderId="125" xfId="0" applyFont="1" applyFill="1" applyBorder="1" applyAlignment="1">
      <alignment horizontal="left" wrapText="1"/>
    </xf>
    <xf numFmtId="0" fontId="9" fillId="19" borderId="34" xfId="0" applyFont="1" applyFill="1" applyBorder="1" applyAlignment="1">
      <alignment horizontal="left" wrapText="1"/>
    </xf>
    <xf numFmtId="0" fontId="9" fillId="19" borderId="113" xfId="0" applyFont="1" applyFill="1" applyBorder="1" applyAlignment="1">
      <alignment horizontal="left" wrapText="1"/>
    </xf>
    <xf numFmtId="0" fontId="9" fillId="19" borderId="86" xfId="0" applyFont="1" applyFill="1" applyBorder="1" applyAlignment="1">
      <alignment horizontal="center" vertical="top" wrapText="1"/>
    </xf>
    <xf numFmtId="0" fontId="9" fillId="19" borderId="126" xfId="0" applyFont="1" applyFill="1" applyBorder="1" applyAlignment="1">
      <alignment horizontal="center" vertical="top" wrapText="1"/>
    </xf>
    <xf numFmtId="0" fontId="9" fillId="19" borderId="114" xfId="0" applyFont="1" applyFill="1" applyBorder="1" applyAlignment="1">
      <alignment horizontal="center" vertical="top" wrapText="1"/>
    </xf>
    <xf numFmtId="0" fontId="9" fillId="10" borderId="125" xfId="0" applyFont="1" applyFill="1" applyBorder="1" applyAlignment="1">
      <alignment horizontal="center" wrapText="1"/>
    </xf>
    <xf numFmtId="0" fontId="9" fillId="10" borderId="113" xfId="0" applyFont="1" applyFill="1" applyBorder="1" applyAlignment="1">
      <alignment horizontal="center" wrapText="1"/>
    </xf>
    <xf numFmtId="0" fontId="9" fillId="10" borderId="125" xfId="0" applyFont="1" applyFill="1" applyBorder="1" applyAlignment="1">
      <alignment horizontal="center" vertical="center" wrapText="1"/>
    </xf>
    <xf numFmtId="0" fontId="9" fillId="10" borderId="113" xfId="0" applyFont="1" applyFill="1" applyBorder="1" applyAlignment="1">
      <alignment horizontal="center" vertical="center" wrapText="1"/>
    </xf>
    <xf numFmtId="0" fontId="10" fillId="6" borderId="24" xfId="0" applyFont="1" applyFill="1" applyBorder="1" applyAlignment="1">
      <alignment horizontal="center" vertical="top" wrapText="1"/>
    </xf>
    <xf numFmtId="0" fontId="10" fillId="6" borderId="0" xfId="0" applyFont="1" applyFill="1" applyBorder="1" applyAlignment="1">
      <alignment horizontal="center" vertical="top" wrapText="1"/>
    </xf>
    <xf numFmtId="0" fontId="10" fillId="6" borderId="20" xfId="0" applyFont="1" applyFill="1" applyBorder="1" applyAlignment="1">
      <alignment horizontal="center" vertical="top" wrapText="1"/>
    </xf>
    <xf numFmtId="0" fontId="10" fillId="6" borderId="19" xfId="0" applyFont="1" applyFill="1" applyBorder="1" applyAlignment="1">
      <alignment horizontal="center" vertical="top" wrapText="1"/>
    </xf>
    <xf numFmtId="0" fontId="10" fillId="6" borderId="6" xfId="0" applyFont="1" applyFill="1" applyBorder="1" applyAlignment="1">
      <alignment horizontal="center" vertical="top" wrapText="1"/>
    </xf>
    <xf numFmtId="0" fontId="10" fillId="6" borderId="18" xfId="0" applyFont="1" applyFill="1" applyBorder="1" applyAlignment="1">
      <alignment horizontal="center" vertical="top" wrapText="1"/>
    </xf>
    <xf numFmtId="0" fontId="10" fillId="6" borderId="63" xfId="0" applyFont="1" applyFill="1" applyBorder="1" applyAlignment="1">
      <alignment horizontal="center" vertical="top" wrapText="1"/>
    </xf>
    <xf numFmtId="0" fontId="10" fillId="6" borderId="179" xfId="0" applyFont="1" applyFill="1" applyBorder="1" applyAlignment="1">
      <alignment horizontal="center" vertical="top" wrapText="1"/>
    </xf>
    <xf numFmtId="0" fontId="10" fillId="6" borderId="180" xfId="0" applyFont="1" applyFill="1" applyBorder="1" applyAlignment="1">
      <alignment horizontal="center" vertical="top" wrapText="1"/>
    </xf>
    <xf numFmtId="0" fontId="0" fillId="18" borderId="19" xfId="0" applyFill="1" applyBorder="1" applyAlignment="1" applyProtection="1">
      <alignment horizontal="center" vertical="top" wrapText="1"/>
    </xf>
    <xf numFmtId="0" fontId="0" fillId="18" borderId="0" xfId="0" applyFill="1" applyBorder="1" applyAlignment="1" applyProtection="1">
      <alignment horizontal="center" vertical="top" wrapText="1"/>
    </xf>
    <xf numFmtId="0" fontId="0" fillId="18" borderId="6" xfId="0" applyFill="1" applyBorder="1" applyAlignment="1" applyProtection="1">
      <alignment horizontal="center" vertical="top" wrapText="1"/>
    </xf>
    <xf numFmtId="0" fontId="0" fillId="17" borderId="19" xfId="0" applyFill="1" applyBorder="1" applyAlignment="1" applyProtection="1">
      <alignment horizontal="center" vertical="top" wrapText="1"/>
    </xf>
    <xf numFmtId="0" fontId="0" fillId="17" borderId="0" xfId="0" applyFill="1" applyBorder="1" applyAlignment="1" applyProtection="1">
      <alignment horizontal="center" vertical="top" wrapText="1"/>
    </xf>
    <xf numFmtId="0" fontId="0" fillId="17" borderId="6" xfId="0" applyFill="1" applyBorder="1" applyAlignment="1" applyProtection="1">
      <alignment horizontal="center" vertical="top" wrapText="1"/>
    </xf>
    <xf numFmtId="0" fontId="0" fillId="17" borderId="20" xfId="0" applyFill="1" applyBorder="1" applyAlignment="1" applyProtection="1">
      <alignment horizontal="center" vertical="top" wrapText="1"/>
    </xf>
    <xf numFmtId="0" fontId="0" fillId="18" borderId="20" xfId="0" applyFill="1" applyBorder="1" applyAlignment="1" applyProtection="1">
      <alignment horizontal="center" vertical="top" wrapText="1"/>
    </xf>
    <xf numFmtId="0" fontId="9" fillId="7" borderId="24" xfId="0" applyFont="1" applyFill="1" applyBorder="1" applyAlignment="1" applyProtection="1">
      <alignment horizontal="left" vertical="top" wrapText="1"/>
    </xf>
    <xf numFmtId="0" fontId="9" fillId="7" borderId="15" xfId="0" applyFont="1" applyFill="1" applyBorder="1" applyAlignment="1" applyProtection="1">
      <alignment horizontal="left" vertical="top" wrapText="1"/>
    </xf>
    <xf numFmtId="0" fontId="0" fillId="7" borderId="0" xfId="0" applyFill="1" applyBorder="1" applyAlignment="1" applyProtection="1">
      <alignment horizontal="left" vertical="top" wrapText="1"/>
    </xf>
    <xf numFmtId="0" fontId="0" fillId="7" borderId="26" xfId="0" applyFill="1" applyBorder="1" applyAlignment="1" applyProtection="1">
      <alignment horizontal="left" vertical="top" wrapText="1"/>
    </xf>
    <xf numFmtId="0" fontId="9" fillId="0" borderId="14" xfId="0" applyFont="1" applyBorder="1" applyAlignment="1" applyProtection="1">
      <alignment horizontal="left" vertical="top" wrapText="1"/>
    </xf>
    <xf numFmtId="0" fontId="9" fillId="0" borderId="24" xfId="0" applyFont="1" applyBorder="1" applyAlignment="1" applyProtection="1">
      <alignment horizontal="left" vertical="top" wrapText="1"/>
    </xf>
    <xf numFmtId="0" fontId="9" fillId="0" borderId="15" xfId="0" applyFont="1" applyBorder="1" applyAlignment="1" applyProtection="1">
      <alignment horizontal="left" vertical="top" wrapText="1"/>
    </xf>
    <xf numFmtId="0" fontId="0" fillId="0" borderId="23"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26" xfId="0" applyBorder="1" applyAlignment="1" applyProtection="1">
      <alignment horizontal="left" vertical="top" wrapText="1"/>
    </xf>
    <xf numFmtId="0" fontId="0" fillId="18" borderId="14" xfId="0" applyFill="1" applyBorder="1" applyAlignment="1" applyProtection="1">
      <alignment horizontal="center" vertical="top" wrapText="1"/>
    </xf>
    <xf numFmtId="0" fontId="0" fillId="18" borderId="23" xfId="0" applyFill="1" applyBorder="1" applyAlignment="1" applyProtection="1">
      <alignment horizontal="center" vertical="top" wrapText="1"/>
    </xf>
    <xf numFmtId="0" fontId="0" fillId="18" borderId="13" xfId="0" applyFill="1" applyBorder="1" applyAlignment="1" applyProtection="1">
      <alignment horizontal="center" vertical="top" wrapText="1"/>
    </xf>
    <xf numFmtId="0" fontId="0" fillId="18" borderId="24" xfId="0" applyFill="1" applyBorder="1" applyAlignment="1" applyProtection="1">
      <alignment horizontal="center" vertical="top" wrapText="1"/>
    </xf>
    <xf numFmtId="0" fontId="0" fillId="17" borderId="24" xfId="0" applyFill="1" applyBorder="1" applyAlignment="1" applyProtection="1">
      <alignment horizontal="center" vertical="top" wrapText="1"/>
    </xf>
    <xf numFmtId="0" fontId="32" fillId="0" borderId="0" xfId="0" applyFont="1" applyBorder="1" applyAlignment="1">
      <alignment horizontal="center"/>
    </xf>
    <xf numFmtId="0" fontId="35" fillId="0" borderId="0" xfId="0" applyFont="1" applyAlignment="1">
      <alignment horizontal="left" vertical="top" wrapText="1"/>
    </xf>
    <xf numFmtId="0" fontId="0" fillId="0" borderId="0" xfId="0" applyAlignment="1">
      <alignment horizontal="center" vertical="center" wrapText="1"/>
    </xf>
    <xf numFmtId="0" fontId="0" fillId="0" borderId="0" xfId="0" applyAlignment="1">
      <alignment horizontal="center" vertical="center"/>
    </xf>
    <xf numFmtId="0" fontId="29" fillId="0" borderId="26" xfId="0" applyFont="1" applyBorder="1" applyAlignment="1">
      <alignment horizontal="left"/>
    </xf>
    <xf numFmtId="0" fontId="29" fillId="0" borderId="27" xfId="0" applyFont="1" applyBorder="1" applyAlignment="1">
      <alignment horizontal="left"/>
    </xf>
    <xf numFmtId="0" fontId="28" fillId="11" borderId="28" xfId="0" applyFont="1" applyFill="1" applyBorder="1" applyAlignment="1">
      <alignment horizontal="left"/>
    </xf>
    <xf numFmtId="0" fontId="28" fillId="11" borderId="29" xfId="0" applyFont="1" applyFill="1" applyBorder="1" applyAlignment="1">
      <alignment horizontal="left"/>
    </xf>
    <xf numFmtId="0" fontId="28" fillId="11" borderId="0" xfId="0" applyFont="1" applyFill="1" applyAlignment="1">
      <alignment horizontal="left"/>
    </xf>
    <xf numFmtId="0" fontId="28" fillId="10" borderId="28" xfId="0" applyFont="1" applyFill="1" applyBorder="1" applyAlignment="1">
      <alignment horizontal="left"/>
    </xf>
    <xf numFmtId="0" fontId="28" fillId="10" borderId="29" xfId="0" applyFont="1" applyFill="1" applyBorder="1" applyAlignment="1">
      <alignment horizontal="left"/>
    </xf>
    <xf numFmtId="0" fontId="28" fillId="10" borderId="0" xfId="0" applyFont="1" applyFill="1" applyAlignment="1">
      <alignment horizontal="left"/>
    </xf>
    <xf numFmtId="0" fontId="74" fillId="12" borderId="190" xfId="0" applyFont="1" applyFill="1" applyBorder="1" applyAlignment="1">
      <alignment horizontal="center" vertical="center" wrapText="1"/>
    </xf>
    <xf numFmtId="0" fontId="74" fillId="12" borderId="185" xfId="0" applyFont="1" applyFill="1" applyBorder="1" applyAlignment="1">
      <alignment horizontal="center" vertical="center" wrapText="1"/>
    </xf>
    <xf numFmtId="0" fontId="78" fillId="27" borderId="22" xfId="0" applyFont="1" applyFill="1" applyBorder="1" applyAlignment="1">
      <alignment horizontal="center" vertical="center"/>
    </xf>
    <xf numFmtId="0" fontId="74" fillId="16" borderId="22" xfId="0" applyFont="1" applyFill="1" applyBorder="1" applyAlignment="1">
      <alignment horizontal="center" vertical="center"/>
    </xf>
    <xf numFmtId="0" fontId="74" fillId="16" borderId="22" xfId="0" applyFont="1" applyFill="1" applyBorder="1" applyAlignment="1" applyProtection="1">
      <alignment horizontal="center" vertical="center"/>
      <protection locked="0"/>
    </xf>
    <xf numFmtId="0" fontId="37" fillId="12" borderId="28" xfId="0" applyFont="1" applyFill="1" applyBorder="1" applyAlignment="1">
      <alignment horizontal="center" vertical="center" wrapText="1"/>
    </xf>
    <xf numFmtId="0" fontId="37" fillId="12" borderId="29" xfId="0" applyFont="1" applyFill="1" applyBorder="1" applyAlignment="1">
      <alignment horizontal="center" vertical="center" wrapText="1"/>
    </xf>
    <xf numFmtId="0" fontId="37" fillId="12" borderId="30" xfId="0" applyFont="1" applyFill="1" applyBorder="1" applyAlignment="1">
      <alignment horizontal="center" vertical="center" wrapText="1"/>
    </xf>
    <xf numFmtId="0" fontId="37" fillId="12" borderId="8" xfId="0" applyFont="1" applyFill="1" applyBorder="1" applyAlignment="1">
      <alignment horizontal="center" vertical="center" wrapText="1"/>
    </xf>
    <xf numFmtId="0" fontId="37" fillId="12" borderId="80" xfId="0" applyFont="1" applyFill="1" applyBorder="1" applyAlignment="1">
      <alignment horizontal="center" vertical="center" wrapText="1"/>
    </xf>
    <xf numFmtId="0" fontId="37" fillId="12" borderId="9" xfId="0" applyFont="1" applyFill="1" applyBorder="1" applyAlignment="1">
      <alignment horizontal="center" vertical="center" wrapText="1"/>
    </xf>
    <xf numFmtId="0" fontId="61" fillId="12" borderId="8" xfId="0" applyFont="1" applyFill="1" applyBorder="1" applyAlignment="1">
      <alignment horizontal="center" vertical="center" wrapText="1"/>
    </xf>
    <xf numFmtId="0" fontId="61" fillId="12" borderId="9" xfId="0" applyFont="1" applyFill="1" applyBorder="1" applyAlignment="1">
      <alignment horizontal="center" vertical="center" wrapText="1"/>
    </xf>
    <xf numFmtId="0" fontId="55" fillId="0" borderId="26" xfId="0" applyFont="1" applyBorder="1" applyAlignment="1">
      <alignment horizontal="center" vertical="center"/>
    </xf>
    <xf numFmtId="0" fontId="37" fillId="12" borderId="14" xfId="0" applyFont="1" applyFill="1" applyBorder="1" applyAlignment="1">
      <alignment horizontal="center" vertical="center" wrapText="1"/>
    </xf>
    <xf numFmtId="0" fontId="37" fillId="12" borderId="23" xfId="0" applyFont="1" applyFill="1" applyBorder="1" applyAlignment="1">
      <alignment horizontal="center" vertical="center" wrapText="1"/>
    </xf>
    <xf numFmtId="0" fontId="37" fillId="12" borderId="13" xfId="0" applyFont="1" applyFill="1" applyBorder="1" applyAlignment="1">
      <alignment horizontal="center" vertical="center" wrapText="1"/>
    </xf>
    <xf numFmtId="0" fontId="2" fillId="26" borderId="8" xfId="0" applyFont="1" applyFill="1" applyBorder="1" applyAlignment="1">
      <alignment horizontal="center" vertical="top"/>
    </xf>
    <xf numFmtId="0" fontId="2" fillId="26" borderId="80" xfId="0" applyFont="1" applyFill="1" applyBorder="1" applyAlignment="1">
      <alignment horizontal="center" vertical="top"/>
    </xf>
    <xf numFmtId="0" fontId="6" fillId="26" borderId="8" xfId="0" applyFont="1" applyFill="1" applyBorder="1" applyAlignment="1">
      <alignment horizontal="left" vertical="top" wrapText="1"/>
    </xf>
    <xf numFmtId="0" fontId="6" fillId="26" borderId="80" xfId="0" applyFont="1" applyFill="1" applyBorder="1" applyAlignment="1">
      <alignment horizontal="left" vertical="top" wrapText="1"/>
    </xf>
    <xf numFmtId="0" fontId="2" fillId="26" borderId="8" xfId="0" applyFont="1" applyFill="1" applyBorder="1" applyAlignment="1">
      <alignment vertical="top" wrapText="1"/>
    </xf>
    <xf numFmtId="0" fontId="2" fillId="26" borderId="80" xfId="0" applyFont="1" applyFill="1" applyBorder="1" applyAlignment="1">
      <alignment vertical="top" wrapText="1"/>
    </xf>
    <xf numFmtId="2" fontId="4" fillId="5" borderId="91" xfId="3" applyNumberFormat="1" applyFont="1" applyBorder="1" applyAlignment="1">
      <alignment horizontal="right" vertical="top" wrapText="1"/>
    </xf>
    <xf numFmtId="2" fontId="4" fillId="5" borderId="92" xfId="3" applyNumberFormat="1" applyFont="1" applyBorder="1" applyAlignment="1">
      <alignment horizontal="right" vertical="top" wrapText="1"/>
    </xf>
    <xf numFmtId="0" fontId="6" fillId="26" borderId="7" xfId="0" applyFont="1" applyFill="1" applyBorder="1" applyAlignment="1">
      <alignment horizontal="left" vertical="top" wrapText="1"/>
    </xf>
    <xf numFmtId="0" fontId="6" fillId="26" borderId="4" xfId="0" applyFont="1" applyFill="1" applyBorder="1" applyAlignment="1">
      <alignment horizontal="left" vertical="top" wrapText="1"/>
    </xf>
    <xf numFmtId="167" fontId="52" fillId="3" borderId="8" xfId="4" applyNumberFormat="1" applyFont="1" applyFill="1" applyBorder="1" applyAlignment="1">
      <alignment horizontal="right" vertical="top" wrapText="1"/>
    </xf>
    <xf numFmtId="167" fontId="52" fillId="3" borderId="9" xfId="4" applyNumberFormat="1" applyFont="1" applyFill="1" applyBorder="1" applyAlignment="1">
      <alignment horizontal="right" vertical="top" wrapText="1"/>
    </xf>
    <xf numFmtId="167" fontId="52" fillId="3" borderId="8" xfId="4" applyNumberFormat="1" applyFont="1" applyFill="1" applyBorder="1" applyAlignment="1">
      <alignment vertical="top" wrapText="1"/>
    </xf>
    <xf numFmtId="167" fontId="52" fillId="3" borderId="9" xfId="4" applyNumberFormat="1" applyFont="1" applyFill="1" applyBorder="1" applyAlignment="1">
      <alignment vertical="top" wrapText="1"/>
    </xf>
    <xf numFmtId="0" fontId="6" fillId="26" borderId="14" xfId="0" applyFont="1" applyFill="1" applyBorder="1" applyAlignment="1">
      <alignment horizontal="left" vertical="top" wrapText="1"/>
    </xf>
    <xf numFmtId="0" fontId="6" fillId="26" borderId="15" xfId="0" applyFont="1" applyFill="1" applyBorder="1" applyAlignment="1">
      <alignment horizontal="left" vertical="top" wrapText="1"/>
    </xf>
    <xf numFmtId="2" fontId="52" fillId="3" borderId="8" xfId="4" applyNumberFormat="1" applyFont="1" applyFill="1" applyBorder="1" applyAlignment="1">
      <alignment vertical="top" wrapText="1"/>
    </xf>
    <xf numFmtId="2" fontId="52" fillId="3" borderId="9" xfId="4" applyNumberFormat="1" applyFont="1" applyFill="1" applyBorder="1" applyAlignment="1">
      <alignment vertical="top" wrapText="1"/>
    </xf>
    <xf numFmtId="0" fontId="2" fillId="26" borderId="9" xfId="0" applyFont="1" applyFill="1" applyBorder="1" applyAlignment="1">
      <alignment vertical="top" wrapText="1"/>
    </xf>
    <xf numFmtId="0" fontId="6" fillId="26" borderId="11" xfId="0" applyFont="1" applyFill="1" applyBorder="1" applyAlignment="1">
      <alignment horizontal="left" vertical="top" wrapText="1"/>
    </xf>
    <xf numFmtId="0" fontId="6" fillId="26" borderId="12" xfId="0" applyFont="1" applyFill="1" applyBorder="1" applyAlignment="1">
      <alignment horizontal="left" vertical="top" wrapText="1"/>
    </xf>
    <xf numFmtId="0" fontId="6" fillId="26" borderId="8" xfId="0" applyFont="1" applyFill="1" applyBorder="1" applyAlignment="1">
      <alignment horizontal="center" vertical="top" wrapText="1"/>
    </xf>
    <xf numFmtId="0" fontId="6" fillId="26" borderId="9" xfId="0" applyFont="1" applyFill="1" applyBorder="1" applyAlignment="1">
      <alignment horizontal="center" vertical="top" wrapText="1"/>
    </xf>
    <xf numFmtId="0" fontId="2" fillId="26" borderId="13" xfId="0" applyFont="1" applyFill="1" applyBorder="1" applyAlignment="1">
      <alignment horizontal="center" vertical="top"/>
    </xf>
    <xf numFmtId="0" fontId="2" fillId="26" borderId="5" xfId="0" applyFont="1" applyFill="1" applyBorder="1" applyAlignment="1">
      <alignment horizontal="center" vertical="top"/>
    </xf>
    <xf numFmtId="0" fontId="9" fillId="0" borderId="14" xfId="0" applyFont="1" applyBorder="1" applyAlignment="1">
      <alignment horizontal="center" vertical="top" wrapText="1"/>
    </xf>
    <xf numFmtId="0" fontId="9" fillId="0" borderId="24" xfId="0" applyFont="1" applyBorder="1" applyAlignment="1">
      <alignment horizontal="center" vertical="top" wrapText="1"/>
    </xf>
    <xf numFmtId="0" fontId="9" fillId="0" borderId="15" xfId="0" applyFont="1" applyBorder="1" applyAlignment="1">
      <alignment horizontal="center" vertical="top" wrapText="1"/>
    </xf>
    <xf numFmtId="0" fontId="0" fillId="0" borderId="23" xfId="0" applyBorder="1" applyAlignment="1">
      <alignment horizontal="center" vertical="top"/>
    </xf>
    <xf numFmtId="0" fontId="0" fillId="0" borderId="0" xfId="0" applyBorder="1" applyAlignment="1">
      <alignment horizontal="center" vertical="top"/>
    </xf>
    <xf numFmtId="0" fontId="0" fillId="0" borderId="26" xfId="0" applyBorder="1" applyAlignment="1">
      <alignment horizontal="center" vertical="top"/>
    </xf>
    <xf numFmtId="0" fontId="9" fillId="0" borderId="14" xfId="0" applyFont="1" applyBorder="1" applyAlignment="1">
      <alignment horizontal="center" vertical="center"/>
    </xf>
    <xf numFmtId="0" fontId="9" fillId="0" borderId="23" xfId="0" applyFont="1" applyBorder="1" applyAlignment="1">
      <alignment horizontal="center" vertical="center"/>
    </xf>
    <xf numFmtId="0" fontId="9" fillId="0" borderId="13" xfId="0" applyFont="1" applyBorder="1" applyAlignment="1">
      <alignment horizontal="center" vertical="center"/>
    </xf>
    <xf numFmtId="0" fontId="9" fillId="0" borderId="15" xfId="0" applyFont="1" applyBorder="1" applyAlignment="1">
      <alignment horizontal="center" vertical="center"/>
    </xf>
    <xf numFmtId="0" fontId="9" fillId="0" borderId="26" xfId="0" applyFont="1" applyBorder="1" applyAlignment="1">
      <alignment horizontal="center" vertical="center"/>
    </xf>
    <xf numFmtId="0" fontId="9" fillId="0" borderId="5" xfId="0" applyFont="1" applyBorder="1" applyAlignment="1">
      <alignment horizontal="center" vertical="center"/>
    </xf>
    <xf numFmtId="0" fontId="66" fillId="22" borderId="14" xfId="0" applyFont="1" applyFill="1" applyBorder="1" applyAlignment="1">
      <alignment horizontal="center"/>
    </xf>
    <xf numFmtId="0" fontId="66" fillId="22" borderId="23" xfId="0" applyFont="1" applyFill="1" applyBorder="1" applyAlignment="1">
      <alignment horizontal="center"/>
    </xf>
  </cellXfs>
  <cellStyles count="8">
    <cellStyle name="Calculation" xfId="2" builtinId="22"/>
    <cellStyle name="Comma" xfId="5" builtinId="3"/>
    <cellStyle name="Currency" xfId="7" builtinId="4"/>
    <cellStyle name="Good" xfId="1" builtinId="26"/>
    <cellStyle name="Hyperlink" xfId="6" builtinId="8"/>
    <cellStyle name="Normal" xfId="0" builtinId="0"/>
    <cellStyle name="Note" xfId="3" builtinId="10"/>
    <cellStyle name="Percent" xfId="4" builtinId="5"/>
  </cellStyles>
  <dxfs count="5">
    <dxf>
      <font>
        <b/>
        <i/>
        <color rgb="FFFF0000"/>
      </font>
    </dxf>
    <dxf>
      <font>
        <b val="0"/>
        <i val="0"/>
        <color rgb="FF00B050"/>
      </font>
    </dxf>
    <dxf>
      <font>
        <b/>
        <i/>
        <color rgb="FFFF0000"/>
      </font>
    </dxf>
    <dxf>
      <font>
        <b val="0"/>
        <i val="0"/>
        <color rgb="FF00B050"/>
      </font>
    </dxf>
    <dxf>
      <font>
        <b/>
        <i val="0"/>
        <condense val="0"/>
        <extend val="0"/>
        <color indexed="1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15</xdr:col>
      <xdr:colOff>553804</xdr:colOff>
      <xdr:row>28</xdr:row>
      <xdr:rowOff>111125</xdr:rowOff>
    </xdr:to>
    <xdr:pic>
      <xdr:nvPicPr>
        <xdr:cNvPr id="4" name="Picture 3">
          <a:extLst>
            <a:ext uri="{FF2B5EF4-FFF2-40B4-BE49-F238E27FC236}">
              <a16:creationId xmlns:a16="http://schemas.microsoft.com/office/drawing/2014/main" id="{C75310A3-009F-4522-8D2D-8C7546B8C53B}"/>
            </a:ext>
          </a:extLst>
        </xdr:cNvPr>
        <xdr:cNvPicPr>
          <a:picLocks noChangeAspect="1"/>
        </xdr:cNvPicPr>
      </xdr:nvPicPr>
      <xdr:blipFill>
        <a:blip xmlns:r="http://schemas.openxmlformats.org/officeDocument/2006/relationships" r:embed="rId1"/>
        <a:stretch>
          <a:fillRect/>
        </a:stretch>
      </xdr:blipFill>
      <xdr:spPr>
        <a:xfrm>
          <a:off x="0" y="523875"/>
          <a:ext cx="9840679" cy="4476750"/>
        </a:xfrm>
        <a:prstGeom prst="rect">
          <a:avLst/>
        </a:prstGeom>
      </xdr:spPr>
    </xdr:pic>
    <xdr:clientData/>
  </xdr:twoCellAnchor>
  <xdr:twoCellAnchor editAs="oneCell">
    <xdr:from>
      <xdr:col>0</xdr:col>
      <xdr:colOff>0</xdr:colOff>
      <xdr:row>30</xdr:row>
      <xdr:rowOff>-1</xdr:rowOff>
    </xdr:from>
    <xdr:to>
      <xdr:col>11</xdr:col>
      <xdr:colOff>333375</xdr:colOff>
      <xdr:row>56</xdr:row>
      <xdr:rowOff>63185</xdr:rowOff>
    </xdr:to>
    <xdr:pic>
      <xdr:nvPicPr>
        <xdr:cNvPr id="5" name="Picture 4">
          <a:extLst>
            <a:ext uri="{FF2B5EF4-FFF2-40B4-BE49-F238E27FC236}">
              <a16:creationId xmlns:a16="http://schemas.microsoft.com/office/drawing/2014/main" id="{819237A0-F37A-4FD0-B817-E0AEA838520C}"/>
            </a:ext>
          </a:extLst>
        </xdr:cNvPr>
        <xdr:cNvPicPr>
          <a:picLocks noChangeAspect="1"/>
        </xdr:cNvPicPr>
      </xdr:nvPicPr>
      <xdr:blipFill>
        <a:blip xmlns:r="http://schemas.openxmlformats.org/officeDocument/2006/relationships" r:embed="rId2"/>
        <a:stretch>
          <a:fillRect/>
        </a:stretch>
      </xdr:blipFill>
      <xdr:spPr>
        <a:xfrm>
          <a:off x="0" y="5357812"/>
          <a:ext cx="7143750" cy="4706623"/>
        </a:xfrm>
        <a:prstGeom prst="rect">
          <a:avLst/>
        </a:prstGeom>
      </xdr:spPr>
    </xdr:pic>
    <xdr:clientData/>
  </xdr:twoCellAnchor>
  <xdr:twoCellAnchor editAs="oneCell">
    <xdr:from>
      <xdr:col>0</xdr:col>
      <xdr:colOff>0</xdr:colOff>
      <xdr:row>58</xdr:row>
      <xdr:rowOff>-1</xdr:rowOff>
    </xdr:from>
    <xdr:to>
      <xdr:col>11</xdr:col>
      <xdr:colOff>309561</xdr:colOff>
      <xdr:row>83</xdr:row>
      <xdr:rowOff>167557</xdr:rowOff>
    </xdr:to>
    <xdr:pic>
      <xdr:nvPicPr>
        <xdr:cNvPr id="6" name="Picture 5">
          <a:extLst>
            <a:ext uri="{FF2B5EF4-FFF2-40B4-BE49-F238E27FC236}">
              <a16:creationId xmlns:a16="http://schemas.microsoft.com/office/drawing/2014/main" id="{5CAB6FF4-2C9A-490F-A7BD-76D8400DD3C1}"/>
            </a:ext>
          </a:extLst>
        </xdr:cNvPr>
        <xdr:cNvPicPr>
          <a:picLocks noChangeAspect="1"/>
        </xdr:cNvPicPr>
      </xdr:nvPicPr>
      <xdr:blipFill>
        <a:blip xmlns:r="http://schemas.openxmlformats.org/officeDocument/2006/relationships" r:embed="rId3"/>
        <a:stretch>
          <a:fillRect/>
        </a:stretch>
      </xdr:blipFill>
      <xdr:spPr>
        <a:xfrm>
          <a:off x="0" y="10358437"/>
          <a:ext cx="7119936" cy="4632401"/>
        </a:xfrm>
        <a:prstGeom prst="rect">
          <a:avLst/>
        </a:prstGeom>
      </xdr:spPr>
    </xdr:pic>
    <xdr:clientData/>
  </xdr:twoCellAnchor>
  <xdr:twoCellAnchor editAs="oneCell">
    <xdr:from>
      <xdr:col>19</xdr:col>
      <xdr:colOff>0</xdr:colOff>
      <xdr:row>3</xdr:row>
      <xdr:rowOff>0</xdr:rowOff>
    </xdr:from>
    <xdr:to>
      <xdr:col>33</xdr:col>
      <xdr:colOff>11906</xdr:colOff>
      <xdr:row>28</xdr:row>
      <xdr:rowOff>112611</xdr:rowOff>
    </xdr:to>
    <xdr:pic>
      <xdr:nvPicPr>
        <xdr:cNvPr id="7" name="Picture 6">
          <a:extLst>
            <a:ext uri="{FF2B5EF4-FFF2-40B4-BE49-F238E27FC236}">
              <a16:creationId xmlns:a16="http://schemas.microsoft.com/office/drawing/2014/main" id="{2FF02A7C-7B68-425E-B46A-397A9649A1AA}"/>
            </a:ext>
          </a:extLst>
        </xdr:cNvPr>
        <xdr:cNvPicPr>
          <a:picLocks noChangeAspect="1"/>
        </xdr:cNvPicPr>
      </xdr:nvPicPr>
      <xdr:blipFill>
        <a:blip xmlns:r="http://schemas.openxmlformats.org/officeDocument/2006/relationships" r:embed="rId4"/>
        <a:stretch>
          <a:fillRect/>
        </a:stretch>
      </xdr:blipFill>
      <xdr:spPr>
        <a:xfrm>
          <a:off x="11763375" y="535781"/>
          <a:ext cx="8679656" cy="4577455"/>
        </a:xfrm>
        <a:prstGeom prst="rect">
          <a:avLst/>
        </a:prstGeom>
      </xdr:spPr>
    </xdr:pic>
    <xdr:clientData/>
  </xdr:twoCellAnchor>
  <xdr:twoCellAnchor editAs="oneCell">
    <xdr:from>
      <xdr:col>18</xdr:col>
      <xdr:colOff>619124</xdr:colOff>
      <xdr:row>30</xdr:row>
      <xdr:rowOff>-1</xdr:rowOff>
    </xdr:from>
    <xdr:to>
      <xdr:col>25</xdr:col>
      <xdr:colOff>452436</xdr:colOff>
      <xdr:row>55</xdr:row>
      <xdr:rowOff>140323</xdr:rowOff>
    </xdr:to>
    <xdr:pic>
      <xdr:nvPicPr>
        <xdr:cNvPr id="8" name="Picture 7">
          <a:extLst>
            <a:ext uri="{FF2B5EF4-FFF2-40B4-BE49-F238E27FC236}">
              <a16:creationId xmlns:a16="http://schemas.microsoft.com/office/drawing/2014/main" id="{A9853350-9A32-4403-84C9-A493B9ABD691}"/>
            </a:ext>
          </a:extLst>
        </xdr:cNvPr>
        <xdr:cNvPicPr>
          <a:picLocks noChangeAspect="1"/>
        </xdr:cNvPicPr>
      </xdr:nvPicPr>
      <xdr:blipFill>
        <a:blip xmlns:r="http://schemas.openxmlformats.org/officeDocument/2006/relationships" r:embed="rId5"/>
        <a:stretch>
          <a:fillRect/>
        </a:stretch>
      </xdr:blipFill>
      <xdr:spPr>
        <a:xfrm>
          <a:off x="11763374" y="5357812"/>
          <a:ext cx="4167187" cy="4605167"/>
        </a:xfrm>
        <a:prstGeom prst="rect">
          <a:avLst/>
        </a:prstGeom>
      </xdr:spPr>
    </xdr:pic>
    <xdr:clientData/>
  </xdr:twoCellAnchor>
  <xdr:twoCellAnchor editAs="oneCell">
    <xdr:from>
      <xdr:col>19</xdr:col>
      <xdr:colOff>0</xdr:colOff>
      <xdr:row>57</xdr:row>
      <xdr:rowOff>0</xdr:rowOff>
    </xdr:from>
    <xdr:to>
      <xdr:col>27</xdr:col>
      <xdr:colOff>428625</xdr:colOff>
      <xdr:row>82</xdr:row>
      <xdr:rowOff>126472</xdr:rowOff>
    </xdr:to>
    <xdr:pic>
      <xdr:nvPicPr>
        <xdr:cNvPr id="9" name="Picture 8">
          <a:extLst>
            <a:ext uri="{FF2B5EF4-FFF2-40B4-BE49-F238E27FC236}">
              <a16:creationId xmlns:a16="http://schemas.microsoft.com/office/drawing/2014/main" id="{9ECFC053-A27A-47CB-9A5A-1F14C39A7D5A}"/>
            </a:ext>
          </a:extLst>
        </xdr:cNvPr>
        <xdr:cNvPicPr>
          <a:picLocks noChangeAspect="1"/>
        </xdr:cNvPicPr>
      </xdr:nvPicPr>
      <xdr:blipFill>
        <a:blip xmlns:r="http://schemas.openxmlformats.org/officeDocument/2006/relationships" r:embed="rId6"/>
        <a:stretch>
          <a:fillRect/>
        </a:stretch>
      </xdr:blipFill>
      <xdr:spPr>
        <a:xfrm>
          <a:off x="11763375" y="10179844"/>
          <a:ext cx="5381625" cy="45913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CC"/>
  </sheetPr>
  <dimension ref="A1:R46"/>
  <sheetViews>
    <sheetView view="pageBreakPreview" zoomScale="90" zoomScaleNormal="100" zoomScaleSheetLayoutView="90" workbookViewId="0">
      <selection activeCell="O10" sqref="O10"/>
    </sheetView>
  </sheetViews>
  <sheetFormatPr defaultColWidth="8.81640625" defaultRowHeight="14.5" x14ac:dyDescent="0.35"/>
  <cols>
    <col min="2" max="2" width="11.7265625" customWidth="1"/>
    <col min="4" max="4" width="6.453125" customWidth="1"/>
    <col min="6" max="6" width="7.7265625" customWidth="1"/>
    <col min="7" max="7" width="12.26953125" customWidth="1"/>
    <col min="8" max="8" width="6" customWidth="1"/>
    <col min="9" max="9" width="14.26953125" customWidth="1"/>
  </cols>
  <sheetData>
    <row r="1" spans="1:18" x14ac:dyDescent="0.35">
      <c r="A1" s="37"/>
      <c r="B1" s="37"/>
      <c r="C1" s="37"/>
      <c r="D1" s="37"/>
      <c r="E1" s="37"/>
      <c r="F1" s="37"/>
      <c r="G1" s="37"/>
      <c r="H1" s="37"/>
      <c r="I1" s="37"/>
      <c r="J1" s="372"/>
      <c r="K1" s="373"/>
      <c r="L1" s="373"/>
      <c r="M1" s="373"/>
      <c r="N1" s="373"/>
      <c r="O1" s="373"/>
      <c r="P1" s="373"/>
      <c r="Q1" s="373"/>
      <c r="R1" s="373"/>
    </row>
    <row r="2" spans="1:18" x14ac:dyDescent="0.35">
      <c r="A2" s="37"/>
      <c r="B2" s="37"/>
      <c r="C2" s="37"/>
      <c r="D2" s="37"/>
      <c r="E2" s="37"/>
      <c r="F2" s="37"/>
      <c r="G2" s="37"/>
      <c r="H2" s="37"/>
      <c r="I2" s="37"/>
      <c r="J2" s="373"/>
      <c r="K2" s="373"/>
      <c r="L2" s="373"/>
      <c r="M2" s="373"/>
      <c r="N2" s="373"/>
      <c r="O2" s="373"/>
      <c r="P2" s="373"/>
      <c r="Q2" s="373"/>
      <c r="R2" s="373"/>
    </row>
    <row r="3" spans="1:18" ht="15" customHeight="1" x14ac:dyDescent="0.35">
      <c r="A3" s="37"/>
      <c r="B3" s="37"/>
      <c r="C3" s="37"/>
      <c r="D3" s="37"/>
      <c r="E3" s="37"/>
      <c r="F3" s="37"/>
      <c r="G3" s="37"/>
      <c r="H3" s="37"/>
      <c r="I3" s="37"/>
      <c r="J3" s="373"/>
      <c r="K3" s="373"/>
      <c r="L3" s="373"/>
      <c r="M3" s="373"/>
      <c r="N3" s="373"/>
      <c r="O3" s="373"/>
      <c r="P3" s="373"/>
      <c r="Q3" s="373"/>
      <c r="R3" s="373"/>
    </row>
    <row r="4" spans="1:18" ht="15" customHeight="1" x14ac:dyDescent="0.35">
      <c r="A4" s="37"/>
      <c r="B4" s="37"/>
      <c r="C4" s="37"/>
      <c r="D4" s="37"/>
      <c r="E4" s="37"/>
      <c r="F4" s="37"/>
      <c r="G4" s="37"/>
      <c r="H4" s="37"/>
      <c r="I4" s="37"/>
      <c r="J4" s="373"/>
      <c r="K4" s="373"/>
      <c r="L4" s="373"/>
      <c r="M4" s="373"/>
      <c r="N4" s="373"/>
      <c r="O4" s="373"/>
      <c r="P4" s="373"/>
      <c r="Q4" s="373"/>
      <c r="R4" s="373"/>
    </row>
    <row r="5" spans="1:18" x14ac:dyDescent="0.35">
      <c r="A5" s="37"/>
      <c r="B5" s="37"/>
      <c r="C5" s="37"/>
      <c r="D5" s="37"/>
      <c r="E5" s="37"/>
      <c r="F5" s="37"/>
      <c r="G5" s="37"/>
      <c r="H5" s="37"/>
      <c r="I5" s="37"/>
      <c r="J5" s="373"/>
      <c r="K5" s="373"/>
      <c r="L5" s="373"/>
      <c r="M5" s="373"/>
      <c r="N5" s="373"/>
      <c r="O5" s="373"/>
      <c r="P5" s="373"/>
      <c r="Q5" s="373"/>
      <c r="R5" s="373"/>
    </row>
    <row r="6" spans="1:18" ht="62.15" customHeight="1" x14ac:dyDescent="0.7">
      <c r="A6" s="698" t="s">
        <v>115</v>
      </c>
      <c r="B6" s="698"/>
      <c r="C6" s="698"/>
      <c r="D6" s="698"/>
      <c r="E6" s="698"/>
      <c r="F6" s="698"/>
      <c r="G6" s="698"/>
      <c r="H6" s="698"/>
      <c r="I6" s="698"/>
      <c r="J6" s="373"/>
      <c r="K6" s="373"/>
      <c r="L6" s="373"/>
      <c r="M6" s="373"/>
      <c r="N6" s="373"/>
      <c r="O6" s="373"/>
      <c r="P6" s="373"/>
      <c r="Q6" s="373"/>
      <c r="R6" s="373"/>
    </row>
    <row r="7" spans="1:18" ht="18.75" customHeight="1" x14ac:dyDescent="0.45">
      <c r="A7" s="710" t="s">
        <v>67</v>
      </c>
      <c r="B7" s="710"/>
      <c r="C7" s="710"/>
      <c r="D7" s="710"/>
      <c r="E7" s="710"/>
      <c r="F7" s="710"/>
      <c r="G7" s="710"/>
      <c r="H7" s="710"/>
      <c r="I7" s="710"/>
      <c r="J7" s="373"/>
      <c r="K7" s="373"/>
      <c r="L7" s="373"/>
      <c r="M7" s="373"/>
      <c r="N7" s="373"/>
      <c r="O7" s="373"/>
      <c r="P7" s="373"/>
      <c r="Q7" s="373"/>
      <c r="R7" s="373"/>
    </row>
    <row r="8" spans="1:18" x14ac:dyDescent="0.35">
      <c r="A8" s="699" t="s">
        <v>62</v>
      </c>
      <c r="B8" s="699"/>
      <c r="C8" s="699"/>
      <c r="D8" s="699"/>
      <c r="E8" s="699"/>
      <c r="F8" s="699"/>
      <c r="G8" s="699"/>
      <c r="H8" s="699"/>
      <c r="I8" s="699"/>
      <c r="J8" s="373"/>
      <c r="K8" s="373"/>
      <c r="L8" s="373"/>
      <c r="M8" s="373"/>
      <c r="N8" s="373"/>
      <c r="O8" s="373"/>
      <c r="P8" s="373"/>
      <c r="Q8" s="373"/>
      <c r="R8" s="373"/>
    </row>
    <row r="9" spans="1:18" ht="15" customHeight="1" x14ac:dyDescent="0.35">
      <c r="A9" s="699"/>
      <c r="B9" s="699"/>
      <c r="C9" s="699"/>
      <c r="D9" s="699"/>
      <c r="E9" s="699"/>
      <c r="F9" s="699"/>
      <c r="G9" s="699"/>
      <c r="H9" s="699"/>
      <c r="I9" s="699"/>
      <c r="J9" s="373"/>
      <c r="K9" s="373"/>
      <c r="L9" s="373"/>
      <c r="M9" s="373"/>
      <c r="N9" s="373"/>
      <c r="O9" s="373"/>
      <c r="P9" s="373"/>
      <c r="Q9" s="373"/>
      <c r="R9" s="373"/>
    </row>
    <row r="10" spans="1:18" ht="48.65" customHeight="1" x14ac:dyDescent="0.35">
      <c r="A10" s="699"/>
      <c r="B10" s="699"/>
      <c r="C10" s="699"/>
      <c r="D10" s="699"/>
      <c r="E10" s="699"/>
      <c r="F10" s="699"/>
      <c r="G10" s="699"/>
      <c r="H10" s="699"/>
      <c r="I10" s="699"/>
      <c r="J10" s="373"/>
      <c r="K10" s="373"/>
      <c r="L10" s="373"/>
      <c r="M10" s="373"/>
      <c r="N10" s="373"/>
      <c r="O10" s="373"/>
      <c r="P10" s="373"/>
      <c r="Q10" s="373"/>
      <c r="R10" s="373"/>
    </row>
    <row r="11" spans="1:18" ht="15" customHeight="1" x14ac:dyDescent="0.35">
      <c r="A11" s="37"/>
      <c r="B11" s="37"/>
      <c r="C11" s="37"/>
      <c r="D11" s="37"/>
      <c r="E11" s="37"/>
      <c r="F11" s="37"/>
      <c r="G11" s="37"/>
      <c r="H11" s="37"/>
      <c r="I11" s="37"/>
      <c r="J11" s="373"/>
      <c r="K11" s="373"/>
      <c r="L11" s="373"/>
      <c r="M11" s="373"/>
      <c r="N11" s="373"/>
      <c r="O11" s="373"/>
      <c r="P11" s="373"/>
      <c r="Q11" s="373"/>
      <c r="R11" s="373"/>
    </row>
    <row r="12" spans="1:18" x14ac:dyDescent="0.35">
      <c r="A12" s="37"/>
      <c r="B12" s="37"/>
      <c r="C12" s="37"/>
      <c r="D12" s="37"/>
      <c r="E12" s="37"/>
      <c r="F12" s="37"/>
      <c r="G12" s="37"/>
      <c r="H12" s="37"/>
      <c r="I12" s="37"/>
      <c r="J12" s="373"/>
      <c r="K12" s="373"/>
      <c r="L12" s="373"/>
      <c r="M12" s="373"/>
      <c r="N12" s="373"/>
      <c r="O12" s="373"/>
      <c r="P12" s="373"/>
      <c r="Q12" s="373"/>
      <c r="R12" s="373"/>
    </row>
    <row r="13" spans="1:18" x14ac:dyDescent="0.35">
      <c r="A13" s="37"/>
      <c r="B13" s="37"/>
      <c r="C13" s="37"/>
      <c r="D13" s="37"/>
      <c r="E13" s="37"/>
      <c r="F13" s="37"/>
      <c r="G13" s="37"/>
      <c r="H13" s="37"/>
      <c r="I13" s="37"/>
      <c r="J13" s="373"/>
      <c r="K13" s="373"/>
      <c r="L13" s="373"/>
      <c r="M13" s="373"/>
      <c r="N13" s="373"/>
      <c r="O13" s="373"/>
      <c r="P13" s="373"/>
      <c r="Q13" s="373"/>
      <c r="R13" s="373"/>
    </row>
    <row r="14" spans="1:18" x14ac:dyDescent="0.35">
      <c r="A14" s="37"/>
      <c r="B14" s="37"/>
      <c r="C14" s="37"/>
      <c r="D14" s="37"/>
      <c r="E14" s="37"/>
      <c r="F14" s="37"/>
      <c r="G14" s="37"/>
      <c r="H14" s="37"/>
      <c r="I14" s="37"/>
      <c r="J14" s="373"/>
      <c r="K14" s="373"/>
      <c r="L14" s="373"/>
      <c r="M14" s="373"/>
      <c r="N14" s="373"/>
      <c r="O14" s="373"/>
      <c r="P14" s="373"/>
      <c r="Q14" s="373"/>
      <c r="R14" s="373"/>
    </row>
    <row r="15" spans="1:18" x14ac:dyDescent="0.35">
      <c r="A15" s="37"/>
      <c r="B15" s="37"/>
      <c r="C15" s="37"/>
      <c r="D15" s="37"/>
      <c r="E15" s="37"/>
      <c r="F15" s="37"/>
      <c r="G15" s="37"/>
      <c r="H15" s="37"/>
      <c r="I15" s="37"/>
      <c r="J15" s="373"/>
      <c r="K15" s="373"/>
      <c r="L15" s="373"/>
      <c r="M15" s="373"/>
      <c r="N15" s="373"/>
      <c r="O15" s="373"/>
      <c r="P15" s="373"/>
      <c r="Q15" s="373"/>
      <c r="R15" s="373"/>
    </row>
    <row r="16" spans="1:18" x14ac:dyDescent="0.35">
      <c r="B16" s="37"/>
      <c r="C16" s="37"/>
      <c r="D16" s="37"/>
      <c r="E16" s="37"/>
      <c r="F16" s="37"/>
      <c r="G16" s="37"/>
      <c r="H16" s="37"/>
      <c r="I16" s="37"/>
      <c r="J16" s="373"/>
      <c r="K16" s="373"/>
      <c r="L16" s="373"/>
      <c r="M16" s="373"/>
      <c r="N16" s="373"/>
      <c r="O16" s="373"/>
      <c r="P16" s="373"/>
      <c r="Q16" s="373"/>
      <c r="R16" s="373"/>
    </row>
    <row r="17" spans="1:18" x14ac:dyDescent="0.35">
      <c r="B17" s="37"/>
      <c r="C17" s="37"/>
      <c r="D17" s="37"/>
      <c r="E17" s="37"/>
      <c r="F17" s="37"/>
      <c r="G17" s="37"/>
      <c r="H17" s="37"/>
      <c r="I17" s="37"/>
      <c r="J17" s="373"/>
      <c r="K17" s="373"/>
      <c r="L17" s="373"/>
      <c r="M17" s="373"/>
      <c r="N17" s="373"/>
      <c r="O17" s="373"/>
      <c r="P17" s="373"/>
      <c r="Q17" s="373"/>
      <c r="R17" s="373"/>
    </row>
    <row r="18" spans="1:18" ht="15" thickBot="1" x14ac:dyDescent="0.4">
      <c r="B18" s="37"/>
      <c r="C18" s="37"/>
      <c r="D18" s="37"/>
      <c r="E18" s="37"/>
      <c r="F18" s="37"/>
      <c r="G18" s="37"/>
      <c r="H18" s="37"/>
      <c r="I18" s="37"/>
      <c r="J18" s="373"/>
      <c r="K18" s="373"/>
      <c r="L18" s="373"/>
      <c r="M18" s="373"/>
      <c r="N18" s="373"/>
      <c r="O18" s="373"/>
      <c r="P18" s="373"/>
      <c r="Q18" s="373"/>
      <c r="R18" s="373"/>
    </row>
    <row r="19" spans="1:18" x14ac:dyDescent="0.35">
      <c r="A19" s="700" t="s">
        <v>116</v>
      </c>
      <c r="B19" s="701"/>
      <c r="C19" s="702"/>
      <c r="D19" s="702"/>
      <c r="E19" s="702"/>
      <c r="F19" s="702"/>
      <c r="G19" s="702"/>
      <c r="H19" s="702"/>
      <c r="I19" s="703"/>
      <c r="J19" s="373"/>
      <c r="K19" s="373"/>
      <c r="L19" s="373"/>
      <c r="M19" s="373"/>
      <c r="N19" s="373"/>
      <c r="O19" s="373"/>
      <c r="P19" s="373"/>
      <c r="Q19" s="373"/>
      <c r="R19" s="373"/>
    </row>
    <row r="20" spans="1:18" x14ac:dyDescent="0.35">
      <c r="A20" s="694" t="s">
        <v>120</v>
      </c>
      <c r="B20" s="695"/>
      <c r="C20" s="696"/>
      <c r="D20" s="696"/>
      <c r="E20" s="696"/>
      <c r="F20" s="696"/>
      <c r="G20" s="696"/>
      <c r="H20" s="696"/>
      <c r="I20" s="697"/>
      <c r="J20" s="373"/>
      <c r="K20" s="373"/>
      <c r="L20" s="373"/>
      <c r="M20" s="373"/>
      <c r="N20" s="373"/>
      <c r="O20" s="373"/>
      <c r="P20" s="373"/>
      <c r="Q20" s="373"/>
      <c r="R20" s="373"/>
    </row>
    <row r="21" spans="1:18" x14ac:dyDescent="0.35">
      <c r="A21" s="694" t="s">
        <v>119</v>
      </c>
      <c r="B21" s="695"/>
      <c r="C21" s="696"/>
      <c r="D21" s="696"/>
      <c r="E21" s="696"/>
      <c r="F21" s="696"/>
      <c r="G21" s="696"/>
      <c r="H21" s="696"/>
      <c r="I21" s="697"/>
      <c r="J21" s="373"/>
      <c r="K21" s="373"/>
      <c r="L21" s="373"/>
      <c r="M21" s="373"/>
      <c r="N21" s="373"/>
      <c r="O21" s="373"/>
      <c r="P21" s="373"/>
      <c r="Q21" s="373"/>
      <c r="R21" s="373"/>
    </row>
    <row r="22" spans="1:18" ht="14.5" customHeight="1" x14ac:dyDescent="0.35">
      <c r="A22" s="694" t="s">
        <v>51</v>
      </c>
      <c r="B22" s="695"/>
      <c r="C22" s="696"/>
      <c r="D22" s="696"/>
      <c r="E22" s="696"/>
      <c r="F22" s="696"/>
      <c r="G22" s="696"/>
      <c r="H22" s="696"/>
      <c r="I22" s="697"/>
      <c r="J22" s="373"/>
      <c r="K22" s="373"/>
      <c r="L22" s="373"/>
      <c r="M22" s="373"/>
      <c r="N22" s="373"/>
      <c r="O22" s="373"/>
      <c r="P22" s="373"/>
      <c r="Q22" s="373"/>
      <c r="R22" s="373"/>
    </row>
    <row r="23" spans="1:18" x14ac:dyDescent="0.35">
      <c r="A23" s="694" t="s">
        <v>52</v>
      </c>
      <c r="B23" s="695"/>
      <c r="C23" s="696"/>
      <c r="D23" s="696"/>
      <c r="E23" s="696"/>
      <c r="F23" s="696"/>
      <c r="G23" s="696"/>
      <c r="H23" s="696"/>
      <c r="I23" s="697"/>
      <c r="J23" s="373"/>
      <c r="K23" s="373"/>
      <c r="L23" s="373"/>
      <c r="M23" s="373"/>
      <c r="N23" s="373"/>
      <c r="O23" s="373"/>
      <c r="P23" s="373"/>
      <c r="Q23" s="373"/>
      <c r="R23" s="373"/>
    </row>
    <row r="24" spans="1:18" x14ac:dyDescent="0.35">
      <c r="A24" s="694" t="s">
        <v>53</v>
      </c>
      <c r="B24" s="695"/>
      <c r="C24" s="696"/>
      <c r="D24" s="696"/>
      <c r="E24" s="696"/>
      <c r="F24" s="696"/>
      <c r="G24" s="696"/>
      <c r="H24" s="696"/>
      <c r="I24" s="697"/>
      <c r="J24" s="373"/>
      <c r="K24" s="373"/>
      <c r="L24" s="373"/>
      <c r="M24" s="373"/>
      <c r="N24" s="373"/>
      <c r="O24" s="373"/>
      <c r="P24" s="373"/>
      <c r="Q24" s="373"/>
      <c r="R24" s="373"/>
    </row>
    <row r="25" spans="1:18" x14ac:dyDescent="0.35">
      <c r="A25" s="694" t="s">
        <v>54</v>
      </c>
      <c r="B25" s="695"/>
      <c r="C25" s="696"/>
      <c r="D25" s="696"/>
      <c r="E25" s="696"/>
      <c r="F25" s="696"/>
      <c r="G25" s="696"/>
      <c r="H25" s="696"/>
      <c r="I25" s="697"/>
      <c r="J25" s="373"/>
      <c r="K25" s="373"/>
      <c r="L25" s="373"/>
      <c r="M25" s="373"/>
      <c r="N25" s="373"/>
      <c r="O25" s="373"/>
      <c r="P25" s="373"/>
      <c r="Q25" s="373"/>
      <c r="R25" s="373"/>
    </row>
    <row r="26" spans="1:18" x14ac:dyDescent="0.35">
      <c r="A26" s="694" t="s">
        <v>55</v>
      </c>
      <c r="B26" s="695"/>
      <c r="C26" s="696"/>
      <c r="D26" s="696"/>
      <c r="E26" s="696"/>
      <c r="F26" s="696"/>
      <c r="G26" s="696"/>
      <c r="H26" s="696"/>
      <c r="I26" s="697"/>
      <c r="J26" s="373"/>
      <c r="K26" s="373"/>
      <c r="L26" s="373"/>
      <c r="M26" s="373"/>
      <c r="N26" s="373"/>
      <c r="O26" s="373"/>
      <c r="P26" s="373"/>
      <c r="Q26" s="373"/>
      <c r="R26" s="373"/>
    </row>
    <row r="27" spans="1:18" ht="19.399999999999999" customHeight="1" x14ac:dyDescent="0.35">
      <c r="A27" s="694" t="s">
        <v>56</v>
      </c>
      <c r="B27" s="695"/>
      <c r="C27" s="711" t="s">
        <v>57</v>
      </c>
      <c r="D27" s="711"/>
      <c r="E27" s="711"/>
      <c r="F27" s="711"/>
      <c r="G27" s="711"/>
      <c r="H27" s="711"/>
      <c r="I27" s="712"/>
      <c r="J27" s="373"/>
      <c r="K27" s="373"/>
      <c r="L27" s="373"/>
      <c r="M27" s="373"/>
      <c r="N27" s="373"/>
      <c r="O27" s="373"/>
      <c r="P27" s="373"/>
      <c r="Q27" s="373"/>
      <c r="R27" s="373"/>
    </row>
    <row r="28" spans="1:18" ht="33" customHeight="1" thickBot="1" x14ac:dyDescent="0.4">
      <c r="A28" s="713" t="s">
        <v>58</v>
      </c>
      <c r="B28" s="714"/>
      <c r="C28" s="715" t="s">
        <v>59</v>
      </c>
      <c r="D28" s="715"/>
      <c r="E28" s="715"/>
      <c r="F28" s="715"/>
      <c r="G28" s="715"/>
      <c r="H28" s="715"/>
      <c r="I28" s="716"/>
      <c r="J28" s="373"/>
      <c r="K28" s="373"/>
      <c r="L28" s="373"/>
      <c r="M28" s="373"/>
      <c r="N28" s="373"/>
      <c r="O28" s="373"/>
      <c r="P28" s="373"/>
      <c r="Q28" s="373"/>
      <c r="R28" s="373"/>
    </row>
    <row r="29" spans="1:18" x14ac:dyDescent="0.35">
      <c r="A29" s="37"/>
      <c r="B29" s="37"/>
      <c r="C29" s="37"/>
      <c r="D29" s="37"/>
      <c r="E29" s="37"/>
      <c r="F29" s="37"/>
      <c r="G29" s="37"/>
      <c r="H29" s="37"/>
      <c r="I29" s="37"/>
      <c r="J29" s="373"/>
      <c r="K29" s="373"/>
      <c r="L29" s="373"/>
      <c r="M29" s="373"/>
      <c r="N29" s="373"/>
      <c r="O29" s="373"/>
      <c r="P29" s="373"/>
      <c r="Q29" s="373"/>
      <c r="R29" s="373"/>
    </row>
    <row r="30" spans="1:18" ht="15" thickBot="1" x14ac:dyDescent="0.4">
      <c r="A30" s="717" t="s">
        <v>63</v>
      </c>
      <c r="B30" s="717"/>
      <c r="C30" s="717"/>
      <c r="D30" s="717"/>
      <c r="E30" s="717"/>
      <c r="F30" s="717"/>
      <c r="G30" s="717"/>
      <c r="H30" s="717"/>
      <c r="I30" s="717"/>
      <c r="J30" s="373"/>
      <c r="K30" s="373"/>
      <c r="L30" s="373"/>
      <c r="M30" s="373"/>
      <c r="N30" s="373"/>
      <c r="O30" s="373"/>
      <c r="P30" s="373"/>
      <c r="Q30" s="373"/>
      <c r="R30" s="373"/>
    </row>
    <row r="31" spans="1:18" ht="14.5" customHeight="1" x14ac:dyDescent="0.35">
      <c r="A31" s="718" t="s">
        <v>60</v>
      </c>
      <c r="B31" s="719"/>
      <c r="C31" s="704" t="s">
        <v>61</v>
      </c>
      <c r="D31" s="704"/>
      <c r="E31" s="723" t="s">
        <v>64</v>
      </c>
      <c r="F31" s="723"/>
      <c r="G31" s="706" t="s">
        <v>65</v>
      </c>
      <c r="H31" s="706"/>
      <c r="I31" s="708" t="s">
        <v>66</v>
      </c>
      <c r="J31" s="373"/>
      <c r="K31" s="373"/>
      <c r="L31" s="373"/>
      <c r="M31" s="373"/>
      <c r="N31" s="373"/>
      <c r="O31" s="373"/>
      <c r="P31" s="373"/>
      <c r="Q31" s="373"/>
      <c r="R31" s="373"/>
    </row>
    <row r="32" spans="1:18" ht="15" thickBot="1" x14ac:dyDescent="0.4">
      <c r="A32" s="720"/>
      <c r="B32" s="721"/>
      <c r="C32" s="722"/>
      <c r="D32" s="722"/>
      <c r="E32" s="724"/>
      <c r="F32" s="724"/>
      <c r="G32" s="707"/>
      <c r="H32" s="707"/>
      <c r="I32" s="709"/>
      <c r="J32" s="373"/>
      <c r="K32" s="373"/>
      <c r="L32" s="373"/>
      <c r="M32" s="373"/>
      <c r="N32" s="373"/>
      <c r="O32" s="373"/>
      <c r="P32" s="373"/>
      <c r="Q32" s="373"/>
      <c r="R32" s="373"/>
    </row>
    <row r="33" spans="1:18" x14ac:dyDescent="0.35">
      <c r="A33" s="704"/>
      <c r="B33" s="704"/>
      <c r="C33" s="704"/>
      <c r="D33" s="704"/>
      <c r="E33" s="704"/>
      <c r="F33" s="704"/>
      <c r="G33" s="704"/>
      <c r="H33" s="704"/>
      <c r="I33" s="704"/>
      <c r="J33" s="373"/>
      <c r="K33" s="373"/>
      <c r="L33" s="373"/>
      <c r="M33" s="373"/>
      <c r="N33" s="373"/>
      <c r="O33" s="373"/>
      <c r="P33" s="373"/>
      <c r="Q33" s="373"/>
      <c r="R33" s="373"/>
    </row>
    <row r="34" spans="1:18" x14ac:dyDescent="0.35">
      <c r="A34" s="705"/>
      <c r="B34" s="705"/>
      <c r="C34" s="705"/>
      <c r="D34" s="705"/>
      <c r="E34" s="705"/>
      <c r="F34" s="705"/>
      <c r="G34" s="705"/>
      <c r="H34" s="705"/>
      <c r="I34" s="705"/>
      <c r="J34" s="373"/>
      <c r="K34" s="373"/>
      <c r="L34" s="373"/>
      <c r="M34" s="373"/>
      <c r="N34" s="373"/>
      <c r="O34" s="373"/>
      <c r="P34" s="373"/>
      <c r="Q34" s="373"/>
      <c r="R34" s="373"/>
    </row>
    <row r="35" spans="1:18" x14ac:dyDescent="0.35">
      <c r="A35" s="705"/>
      <c r="B35" s="705"/>
      <c r="C35" s="705"/>
      <c r="D35" s="705"/>
      <c r="E35" s="705"/>
      <c r="F35" s="705"/>
      <c r="G35" s="705"/>
      <c r="H35" s="705"/>
      <c r="I35" s="705"/>
      <c r="J35" s="373"/>
      <c r="K35" s="373"/>
      <c r="L35" s="373"/>
      <c r="M35" s="373"/>
      <c r="N35" s="373"/>
      <c r="O35" s="373"/>
      <c r="P35" s="373"/>
      <c r="Q35" s="373"/>
      <c r="R35" s="373"/>
    </row>
    <row r="36" spans="1:18" x14ac:dyDescent="0.35">
      <c r="A36" s="85"/>
      <c r="B36" s="85"/>
      <c r="C36" s="37"/>
      <c r="D36" s="37"/>
      <c r="E36" s="37"/>
      <c r="F36" s="37"/>
      <c r="G36" s="37"/>
      <c r="H36" s="37"/>
      <c r="I36" s="37"/>
      <c r="J36" s="373"/>
      <c r="K36" s="373"/>
      <c r="L36" s="373"/>
      <c r="M36" s="373"/>
      <c r="N36" s="373"/>
      <c r="O36" s="373"/>
      <c r="P36" s="373"/>
      <c r="Q36" s="373"/>
      <c r="R36" s="373"/>
    </row>
    <row r="37" spans="1:18" x14ac:dyDescent="0.35">
      <c r="A37" s="37"/>
      <c r="B37" s="37"/>
      <c r="C37" s="37"/>
      <c r="D37" s="37"/>
      <c r="E37" s="37"/>
      <c r="F37" s="37"/>
      <c r="G37" s="37"/>
      <c r="H37" s="37"/>
      <c r="I37" s="37"/>
      <c r="J37" s="373"/>
      <c r="K37" s="373"/>
      <c r="L37" s="373"/>
      <c r="M37" s="373"/>
      <c r="N37" s="373"/>
      <c r="O37" s="373"/>
      <c r="P37" s="373"/>
      <c r="Q37" s="373"/>
      <c r="R37" s="373"/>
    </row>
    <row r="38" spans="1:18" x14ac:dyDescent="0.35">
      <c r="A38" s="37"/>
      <c r="B38" s="37"/>
      <c r="C38" s="37"/>
      <c r="D38" s="37"/>
      <c r="E38" s="37"/>
      <c r="F38" s="37"/>
      <c r="G38" s="37"/>
      <c r="H38" s="37"/>
      <c r="I38" s="37"/>
      <c r="J38" s="373"/>
      <c r="K38" s="373"/>
      <c r="L38" s="373"/>
      <c r="M38" s="373"/>
      <c r="N38" s="373"/>
      <c r="O38" s="373"/>
      <c r="P38" s="373"/>
      <c r="Q38" s="373"/>
      <c r="R38" s="373"/>
    </row>
    <row r="39" spans="1:18" x14ac:dyDescent="0.35">
      <c r="A39" s="37"/>
      <c r="B39" s="37"/>
      <c r="C39" s="37"/>
      <c r="D39" s="37"/>
      <c r="E39" s="37"/>
      <c r="F39" s="37"/>
      <c r="G39" s="37"/>
      <c r="H39" s="37"/>
      <c r="I39" s="37"/>
      <c r="J39" s="373"/>
      <c r="K39" s="373"/>
      <c r="L39" s="373"/>
      <c r="M39" s="373"/>
      <c r="N39" s="373"/>
      <c r="O39" s="373"/>
      <c r="P39" s="373"/>
      <c r="Q39" s="373"/>
      <c r="R39" s="373"/>
    </row>
    <row r="40" spans="1:18" x14ac:dyDescent="0.35">
      <c r="A40" s="37"/>
      <c r="B40" s="37"/>
      <c r="C40" s="37"/>
      <c r="D40" s="37"/>
      <c r="E40" s="37"/>
      <c r="F40" s="37"/>
      <c r="G40" s="37"/>
      <c r="H40" s="37"/>
      <c r="I40" s="37"/>
      <c r="J40" s="373"/>
      <c r="K40" s="373"/>
      <c r="L40" s="373"/>
      <c r="M40" s="373"/>
      <c r="N40" s="373"/>
      <c r="O40" s="373"/>
      <c r="P40" s="373"/>
      <c r="Q40" s="373"/>
      <c r="R40" s="373"/>
    </row>
    <row r="41" spans="1:18" x14ac:dyDescent="0.35">
      <c r="A41" s="37"/>
      <c r="B41" s="37"/>
      <c r="C41" s="37"/>
      <c r="D41" s="37"/>
      <c r="E41" s="37"/>
      <c r="F41" s="37"/>
      <c r="G41" s="37"/>
      <c r="H41" s="37"/>
      <c r="I41" s="37"/>
      <c r="J41" s="373"/>
      <c r="K41" s="373"/>
      <c r="L41" s="373"/>
      <c r="M41" s="373"/>
      <c r="N41" s="373"/>
      <c r="O41" s="373"/>
      <c r="P41" s="373"/>
      <c r="Q41" s="373"/>
      <c r="R41" s="373"/>
    </row>
    <row r="42" spans="1:18" x14ac:dyDescent="0.35">
      <c r="A42" s="37"/>
      <c r="B42" s="37"/>
      <c r="C42" s="37"/>
      <c r="D42" s="37"/>
      <c r="E42" s="37"/>
      <c r="F42" s="37"/>
      <c r="G42" s="37"/>
      <c r="H42" s="37"/>
      <c r="I42" s="37"/>
      <c r="J42" s="373"/>
      <c r="K42" s="373"/>
      <c r="L42" s="373"/>
      <c r="M42" s="373"/>
      <c r="N42" s="373"/>
      <c r="O42" s="373"/>
      <c r="P42" s="373"/>
      <c r="Q42" s="373"/>
      <c r="R42" s="373"/>
    </row>
    <row r="43" spans="1:18" x14ac:dyDescent="0.35">
      <c r="A43" s="37"/>
      <c r="B43" s="37"/>
      <c r="C43" s="37"/>
      <c r="D43" s="37"/>
      <c r="E43" s="37"/>
      <c r="F43" s="37"/>
      <c r="G43" s="37"/>
      <c r="H43" s="37"/>
      <c r="I43" s="37"/>
    </row>
    <row r="44" spans="1:18" x14ac:dyDescent="0.35">
      <c r="A44" s="37"/>
      <c r="B44" s="37"/>
      <c r="C44" s="37"/>
      <c r="D44" s="37"/>
      <c r="E44" s="37"/>
      <c r="F44" s="37"/>
      <c r="G44" s="37"/>
      <c r="H44" s="37"/>
      <c r="I44" s="37"/>
    </row>
    <row r="45" spans="1:18" x14ac:dyDescent="0.35">
      <c r="A45" s="37"/>
      <c r="B45" s="37"/>
      <c r="C45" s="37"/>
      <c r="D45" s="37"/>
      <c r="E45" s="37"/>
      <c r="F45" s="37"/>
      <c r="G45" s="37"/>
      <c r="H45" s="37"/>
      <c r="I45" s="37"/>
    </row>
    <row r="46" spans="1:18" x14ac:dyDescent="0.35">
      <c r="A46" s="37"/>
      <c r="B46" s="37"/>
      <c r="C46" s="37"/>
      <c r="D46" s="37"/>
      <c r="E46" s="37"/>
      <c r="F46" s="37"/>
      <c r="G46" s="37"/>
      <c r="H46" s="37"/>
      <c r="I46" s="37"/>
    </row>
  </sheetData>
  <mergeCells count="30">
    <mergeCell ref="A33:I35"/>
    <mergeCell ref="G31:H32"/>
    <mergeCell ref="I31:I32"/>
    <mergeCell ref="A7:I7"/>
    <mergeCell ref="A27:B27"/>
    <mergeCell ref="C27:I27"/>
    <mergeCell ref="A28:B28"/>
    <mergeCell ref="C28:I28"/>
    <mergeCell ref="A30:I30"/>
    <mergeCell ref="A31:B32"/>
    <mergeCell ref="C31:D32"/>
    <mergeCell ref="E31:F32"/>
    <mergeCell ref="A24:B24"/>
    <mergeCell ref="C24:I24"/>
    <mergeCell ref="A25:B25"/>
    <mergeCell ref="C25:I25"/>
    <mergeCell ref="A26:B26"/>
    <mergeCell ref="C26:I26"/>
    <mergeCell ref="A6:I6"/>
    <mergeCell ref="A8:I10"/>
    <mergeCell ref="A22:B22"/>
    <mergeCell ref="C22:I22"/>
    <mergeCell ref="A23:B23"/>
    <mergeCell ref="C23:I23"/>
    <mergeCell ref="A19:B19"/>
    <mergeCell ref="C19:I19"/>
    <mergeCell ref="A20:B20"/>
    <mergeCell ref="C20:I20"/>
    <mergeCell ref="A21:B21"/>
    <mergeCell ref="C21:I2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1"/>
  <sheetViews>
    <sheetView view="pageBreakPreview" zoomScale="60" zoomScaleNormal="100" workbookViewId="0">
      <selection activeCell="B49" sqref="B49"/>
    </sheetView>
  </sheetViews>
  <sheetFormatPr defaultColWidth="8.81640625" defaultRowHeight="14.5" x14ac:dyDescent="0.35"/>
  <cols>
    <col min="1" max="1" width="25.453125" customWidth="1"/>
    <col min="2" max="2" width="79" bestFit="1" customWidth="1"/>
    <col min="3" max="3" width="70" bestFit="1" customWidth="1"/>
  </cols>
  <sheetData>
    <row r="1" spans="1:3" ht="19" thickBot="1" x14ac:dyDescent="0.5">
      <c r="A1" s="344" t="s">
        <v>267</v>
      </c>
    </row>
    <row r="2" spans="1:3" ht="15" thickBot="1" x14ac:dyDescent="0.4">
      <c r="A2" s="352" t="s">
        <v>289</v>
      </c>
      <c r="B2" s="353" t="s">
        <v>290</v>
      </c>
      <c r="C2" s="354" t="s">
        <v>295</v>
      </c>
    </row>
    <row r="3" spans="1:3" x14ac:dyDescent="0.35">
      <c r="A3" s="368" t="s">
        <v>268</v>
      </c>
      <c r="B3" s="355" t="s">
        <v>292</v>
      </c>
      <c r="C3" s="261" t="s">
        <v>291</v>
      </c>
    </row>
    <row r="4" spans="1:3" x14ac:dyDescent="0.35">
      <c r="A4" s="369" t="s">
        <v>269</v>
      </c>
      <c r="B4" s="356" t="s">
        <v>293</v>
      </c>
      <c r="C4" s="357" t="s">
        <v>294</v>
      </c>
    </row>
    <row r="5" spans="1:3" x14ac:dyDescent="0.35">
      <c r="A5" s="369" t="s">
        <v>270</v>
      </c>
      <c r="B5" s="356" t="s">
        <v>296</v>
      </c>
      <c r="C5" s="357" t="s">
        <v>294</v>
      </c>
    </row>
    <row r="6" spans="1:3" x14ac:dyDescent="0.35">
      <c r="A6" s="369" t="s">
        <v>214</v>
      </c>
      <c r="B6" s="356" t="s">
        <v>297</v>
      </c>
      <c r="C6" s="259" t="s">
        <v>299</v>
      </c>
    </row>
    <row r="7" spans="1:3" x14ac:dyDescent="0.35">
      <c r="A7" s="369" t="s">
        <v>271</v>
      </c>
      <c r="B7" s="356" t="s">
        <v>298</v>
      </c>
      <c r="C7" s="357" t="s">
        <v>294</v>
      </c>
    </row>
    <row r="8" spans="1:3" x14ac:dyDescent="0.35">
      <c r="A8" s="369" t="s">
        <v>272</v>
      </c>
      <c r="B8" s="356" t="s">
        <v>300</v>
      </c>
      <c r="C8" s="259" t="s">
        <v>301</v>
      </c>
    </row>
    <row r="9" spans="1:3" x14ac:dyDescent="0.35">
      <c r="A9" s="369" t="s">
        <v>273</v>
      </c>
      <c r="B9" s="356" t="s">
        <v>302</v>
      </c>
      <c r="C9" s="357" t="s">
        <v>294</v>
      </c>
    </row>
    <row r="10" spans="1:3" x14ac:dyDescent="0.35">
      <c r="A10" s="369" t="s">
        <v>274</v>
      </c>
      <c r="B10" s="356" t="s">
        <v>303</v>
      </c>
      <c r="C10" s="259" t="s">
        <v>301</v>
      </c>
    </row>
    <row r="11" spans="1:3" x14ac:dyDescent="0.35">
      <c r="A11" s="369" t="s">
        <v>275</v>
      </c>
      <c r="B11" s="356" t="s">
        <v>304</v>
      </c>
      <c r="C11" s="259" t="s">
        <v>301</v>
      </c>
    </row>
    <row r="12" spans="1:3" x14ac:dyDescent="0.35">
      <c r="A12" s="369" t="s">
        <v>276</v>
      </c>
      <c r="B12" s="356" t="s">
        <v>305</v>
      </c>
      <c r="C12" s="259" t="s">
        <v>301</v>
      </c>
    </row>
    <row r="13" spans="1:3" x14ac:dyDescent="0.35">
      <c r="A13" s="369" t="s">
        <v>277</v>
      </c>
      <c r="B13" s="356" t="s">
        <v>306</v>
      </c>
      <c r="C13" s="259" t="s">
        <v>301</v>
      </c>
    </row>
    <row r="14" spans="1:3" x14ac:dyDescent="0.35">
      <c r="A14" s="369" t="s">
        <v>278</v>
      </c>
      <c r="B14" s="356" t="s">
        <v>339</v>
      </c>
      <c r="C14" s="259" t="s">
        <v>307</v>
      </c>
    </row>
    <row r="15" spans="1:3" x14ac:dyDescent="0.35">
      <c r="A15" s="369" t="s">
        <v>338</v>
      </c>
      <c r="B15" s="356" t="s">
        <v>340</v>
      </c>
      <c r="C15" s="259" t="s">
        <v>301</v>
      </c>
    </row>
    <row r="16" spans="1:3" x14ac:dyDescent="0.35">
      <c r="A16" s="369" t="s">
        <v>283</v>
      </c>
      <c r="B16" s="356" t="s">
        <v>308</v>
      </c>
      <c r="C16" s="259" t="s">
        <v>309</v>
      </c>
    </row>
    <row r="17" spans="1:3" x14ac:dyDescent="0.35">
      <c r="A17" s="369" t="s">
        <v>284</v>
      </c>
      <c r="B17" s="356" t="s">
        <v>310</v>
      </c>
      <c r="C17" s="259" t="s">
        <v>311</v>
      </c>
    </row>
    <row r="18" spans="1:3" ht="29" x14ac:dyDescent="0.35">
      <c r="A18" s="369" t="s">
        <v>285</v>
      </c>
      <c r="B18" s="367" t="s">
        <v>312</v>
      </c>
      <c r="C18" s="370" t="s">
        <v>313</v>
      </c>
    </row>
    <row r="19" spans="1:3" x14ac:dyDescent="0.35">
      <c r="A19" s="369" t="s">
        <v>286</v>
      </c>
      <c r="B19" s="356" t="s">
        <v>314</v>
      </c>
      <c r="C19" s="259" t="s">
        <v>315</v>
      </c>
    </row>
    <row r="20" spans="1:3" x14ac:dyDescent="0.35">
      <c r="A20" s="369" t="s">
        <v>287</v>
      </c>
      <c r="B20" s="356" t="s">
        <v>316</v>
      </c>
      <c r="C20" s="259" t="s">
        <v>318</v>
      </c>
    </row>
    <row r="21" spans="1:3" x14ac:dyDescent="0.35">
      <c r="A21" s="369" t="s">
        <v>288</v>
      </c>
      <c r="B21" s="356" t="s">
        <v>317</v>
      </c>
      <c r="C21" s="259" t="s">
        <v>318</v>
      </c>
    </row>
  </sheetData>
  <sheetProtection password="C3D8" sheet="1" objects="1" scenarios="1"/>
  <hyperlinks>
    <hyperlink ref="A3" location="Sumarizácia!R1C1" display="Sumarizácia" xr:uid="{00000000-0004-0000-0100-000000000000}"/>
    <hyperlink ref="A4" location="'CBA - Agendové IS'!R1C1" display="CBA" xr:uid="{00000000-0004-0000-0100-000001000000}"/>
    <hyperlink ref="A5" location="'Analyza citlivosti - AgendovéIS'!R1C1" display="Analyza citlivosti" xr:uid="{00000000-0004-0000-0100-000002000000}"/>
    <hyperlink ref="A6" location="'Prínosy - Agendové IS'!R1C1" display="Prínosy" xr:uid="{00000000-0004-0000-0100-000003000000}"/>
    <hyperlink ref="A7" location="'Výdavky - Agendové IS'!R1C1" display="Výdavky" xr:uid="{00000000-0004-0000-0100-000004000000}"/>
    <hyperlink ref="A8" location="'Parametre - Agendové IS'!R1C1" display="Parametre" xr:uid="{00000000-0004-0000-0100-000005000000}"/>
    <hyperlink ref="A9" location="TCO!R1C1" display="TCO" xr:uid="{00000000-0004-0000-0100-000006000000}"/>
    <hyperlink ref="A10" location="'TCO Alt. 1 - SW'!R1C1" display="TCO Alt. 1 - SW" xr:uid="{00000000-0004-0000-0100-000007000000}"/>
    <hyperlink ref="A11" location="'TCO Alt. 1 - HW'!R1C1" display="TCO Alt. 1 - HW" xr:uid="{00000000-0004-0000-0100-000008000000}"/>
    <hyperlink ref="A12" location="'TCO Alt. 2 - SW'!R1C1" display="TCO Alt. 2 - SW" xr:uid="{00000000-0004-0000-0100-000009000000}"/>
    <hyperlink ref="A13" location="'TCO Alt. 2 - HW'!R1C1" display="TCO Alt. 2 - HW" xr:uid="{00000000-0004-0000-0100-00000A000000}"/>
    <hyperlink ref="A14" location="'Rozpočet - vývoj Aplikácií'!R1C1" display="Rozpočet - vývoj aplikácii" xr:uid="{00000000-0004-0000-0100-00000B000000}"/>
    <hyperlink ref="A16" location="'Slepý rozpočet'!R1C1" display="Slepý rozpočet" xr:uid="{00000000-0004-0000-0100-00000C000000}"/>
    <hyperlink ref="A17" location="Faktory!R1C1" display="Faktory" xr:uid="{00000000-0004-0000-0100-00000D000000}"/>
    <hyperlink ref="A18" location="'Meranie prínosov'!R1C1" display="Meranie prínosov" xr:uid="{00000000-0004-0000-0100-00000E000000}"/>
    <hyperlink ref="A19" location="'Procesné mapy'!R1C1" display="Procesné mapy" xr:uid="{00000000-0004-0000-0100-00000F000000}"/>
    <hyperlink ref="A20" location="'Procesy - AS IS'!R1C1" display="Procesy AS IS" xr:uid="{00000000-0004-0000-0100-000010000000}"/>
    <hyperlink ref="A21" location="'Procesy - TO BE'!R1C1" display="Procesy TO BE" xr:uid="{00000000-0004-0000-0100-000011000000}"/>
    <hyperlink ref="A15" location="'Rozpočet - HW a licencie'!R1C1" display="Rozpočet - HW a licencie" xr:uid="{00000000-0004-0000-0100-000012000000}"/>
  </hyperlinks>
  <pageMargins left="0.7" right="0.7" top="0.75" bottom="0.75" header="0.3" footer="0.3"/>
  <pageSetup paperSize="9" scale="5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sheetPr>
  <dimension ref="A1:R32"/>
  <sheetViews>
    <sheetView view="pageBreakPreview" zoomScaleNormal="100" zoomScaleSheetLayoutView="100" workbookViewId="0">
      <selection activeCell="I15" sqref="I15"/>
    </sheetView>
  </sheetViews>
  <sheetFormatPr defaultColWidth="9.1796875" defaultRowHeight="14.5" x14ac:dyDescent="0.35"/>
  <cols>
    <col min="1" max="1" width="9.1796875" style="544"/>
    <col min="2" max="2" width="9.1796875" style="544" customWidth="1"/>
    <col min="3" max="3" width="32" style="544" customWidth="1"/>
    <col min="4" max="6" width="13.453125" style="544" bestFit="1" customWidth="1"/>
    <col min="7" max="7" width="13.81640625" style="544" bestFit="1" customWidth="1"/>
    <col min="8" max="12" width="9.1796875" style="544"/>
    <col min="13" max="13" width="32.26953125" style="544" customWidth="1"/>
    <col min="14" max="17" width="15.453125" style="544" bestFit="1" customWidth="1"/>
    <col min="18" max="16384" width="9.1796875" style="544"/>
  </cols>
  <sheetData>
    <row r="1" spans="1:17" ht="21.75" customHeight="1" thickBot="1" x14ac:dyDescent="0.4">
      <c r="A1" s="725" t="s">
        <v>356</v>
      </c>
      <c r="B1" s="725"/>
      <c r="C1" s="725"/>
      <c r="D1" s="543"/>
      <c r="E1" s="543"/>
      <c r="F1" s="543"/>
      <c r="G1" s="543"/>
      <c r="H1" s="543"/>
      <c r="I1" s="543"/>
      <c r="J1" s="543"/>
      <c r="K1" s="725" t="s">
        <v>357</v>
      </c>
      <c r="L1" s="725"/>
      <c r="M1" s="725"/>
    </row>
    <row r="2" spans="1:17" ht="60" customHeight="1" x14ac:dyDescent="0.35">
      <c r="A2" s="726"/>
      <c r="B2" s="727"/>
      <c r="C2" s="728"/>
      <c r="D2" s="654" t="s">
        <v>364</v>
      </c>
      <c r="E2" s="654" t="s">
        <v>365</v>
      </c>
      <c r="F2" s="654" t="s">
        <v>366</v>
      </c>
      <c r="G2" s="632" t="s">
        <v>107</v>
      </c>
      <c r="K2" s="726"/>
      <c r="L2" s="727"/>
      <c r="M2" s="728"/>
      <c r="N2" s="654" t="str">
        <f>D2</f>
        <v>Vyplnenie požadovaných výkonnostných ukazovateľov a cieľov</v>
      </c>
      <c r="O2" s="654" t="str">
        <f>E2</f>
        <v>Poskytovanie sumárneho prehľadu o plnení výkonnostných ukazovateľov a cieľov</v>
      </c>
      <c r="P2" s="654" t="str">
        <f>F2</f>
        <v>Poskytovanie analytických metód nad vykázanými výkonnostnými ukazovateľmi a cieľmi</v>
      </c>
      <c r="Q2" s="632" t="s">
        <v>107</v>
      </c>
    </row>
    <row r="3" spans="1:17" x14ac:dyDescent="0.35">
      <c r="A3" s="374" t="s">
        <v>361</v>
      </c>
      <c r="B3" s="375"/>
      <c r="C3" s="376"/>
      <c r="D3" s="377">
        <f>D4+D5+D9+D13+D14</f>
        <v>1612247.2141304843</v>
      </c>
      <c r="E3" s="377">
        <f>E4+E5+E9+E13+E14</f>
        <v>1612247.2141304843</v>
      </c>
      <c r="F3" s="377">
        <f>F4+F5+F9+F13+F14</f>
        <v>1612247.2141304843</v>
      </c>
      <c r="G3" s="545">
        <f t="shared" ref="G3:G17" si="0">SUM(D3:F3)</f>
        <v>4836741.6423914526</v>
      </c>
      <c r="K3" s="374" t="s">
        <v>361</v>
      </c>
      <c r="L3" s="375"/>
      <c r="M3" s="376"/>
      <c r="N3" s="377">
        <f>N4+N5+N9+N13+N14</f>
        <v>2350022.6989999996</v>
      </c>
      <c r="O3" s="377">
        <f>O4+O5+O9+O13+O14</f>
        <v>2350022.6989999996</v>
      </c>
      <c r="P3" s="377">
        <f>P4+P5+P9+P13+P14</f>
        <v>2350022.6989999996</v>
      </c>
      <c r="Q3" s="545">
        <f t="shared" ref="Q3:Q17" si="1">SUM(N3:P3)</f>
        <v>7050068.0969999991</v>
      </c>
    </row>
    <row r="4" spans="1:17" x14ac:dyDescent="0.35">
      <c r="A4" s="378"/>
      <c r="B4" s="379" t="s">
        <v>70</v>
      </c>
      <c r="C4" s="380"/>
      <c r="D4" s="568">
        <f>'Parametre - Agendové IS'!I106+NPV(Faktory!$D$5,'Parametre - Agendové IS'!I107:I115)</f>
        <v>0</v>
      </c>
      <c r="E4" s="568">
        <f>'Parametre - Agendové IS'!L106+NPV(Faktory!$D$5,'Parametre - Agendové IS'!L107:L115)</f>
        <v>0</v>
      </c>
      <c r="F4" s="568">
        <f>'Parametre - Agendové IS'!O106+NPV(Faktory!$D$5,'Parametre - Agendové IS'!O107:O115)</f>
        <v>0</v>
      </c>
      <c r="G4" s="569">
        <f t="shared" si="0"/>
        <v>0</v>
      </c>
      <c r="K4" s="378"/>
      <c r="L4" s="379" t="s">
        <v>70</v>
      </c>
      <c r="M4" s="380"/>
      <c r="N4" s="568">
        <f>SUM('Parametre - Agendové IS'!I106:I115)</f>
        <v>0</v>
      </c>
      <c r="O4" s="568">
        <f>SUM('Parametre - Agendové IS'!L106:L115)</f>
        <v>0</v>
      </c>
      <c r="P4" s="568">
        <f>SUM('Parametre - Agendové IS'!O106:O115)</f>
        <v>0</v>
      </c>
      <c r="Q4" s="569">
        <f t="shared" si="1"/>
        <v>0</v>
      </c>
    </row>
    <row r="5" spans="1:17" x14ac:dyDescent="0.35">
      <c r="A5" s="378"/>
      <c r="B5" s="379" t="s">
        <v>218</v>
      </c>
      <c r="C5" s="380"/>
      <c r="D5" s="568">
        <f>SUM(D6:D8)</f>
        <v>791949.66666666663</v>
      </c>
      <c r="E5" s="568">
        <f>SUM(E6:E8)</f>
        <v>791949.66666666663</v>
      </c>
      <c r="F5" s="568">
        <f>SUM(F6:F8)</f>
        <v>791949.66666666663</v>
      </c>
      <c r="G5" s="569">
        <f>SUM(D5:F5)</f>
        <v>2375849</v>
      </c>
      <c r="K5" s="378"/>
      <c r="L5" s="379" t="s">
        <v>218</v>
      </c>
      <c r="M5" s="380"/>
      <c r="N5" s="568">
        <f>SUM(N6:N8)</f>
        <v>791949.66666666663</v>
      </c>
      <c r="O5" s="568">
        <f>SUM(O6:O8)</f>
        <v>791949.66666666663</v>
      </c>
      <c r="P5" s="568">
        <f>SUM(P6:P8)</f>
        <v>791949.66666666663</v>
      </c>
      <c r="Q5" s="569">
        <f t="shared" si="1"/>
        <v>2375849</v>
      </c>
    </row>
    <row r="6" spans="1:17" x14ac:dyDescent="0.35">
      <c r="A6" s="381"/>
      <c r="B6" s="382"/>
      <c r="C6" s="383" t="s">
        <v>109</v>
      </c>
      <c r="D6" s="570">
        <f>('TCO TO BE- SW'!$E$26+NPV(Faktory!$D$5,'TCO TO BE- SW'!$E$27:$E$35)+'TCO TO BE- SW'!$E$46+NPV(Faktory!$D$5,'TCO TO BE- SW'!$E$47:$E$55))/3</f>
        <v>369849.19999999995</v>
      </c>
      <c r="E6" s="570">
        <f>('TCO TO BE- SW'!$E$26+NPV(Faktory!$D$5,'TCO TO BE- SW'!$E$27:$E$35)+'TCO TO BE- SW'!$E$46+NPV(Faktory!$D$5,'TCO TO BE- SW'!$E$47:$E$55))/3</f>
        <v>369849.19999999995</v>
      </c>
      <c r="F6" s="570">
        <f>('TCO TO BE- SW'!$E$26+NPV(Faktory!$D$5,'TCO TO BE- SW'!$E$27:$E$35)+'TCO TO BE- SW'!$E$46+NPV(Faktory!$D$5,'TCO TO BE- SW'!$E$47:$E$55))/3</f>
        <v>369849.19999999995</v>
      </c>
      <c r="G6" s="571">
        <f t="shared" si="0"/>
        <v>1109547.5999999999</v>
      </c>
      <c r="K6" s="381"/>
      <c r="L6" s="382"/>
      <c r="M6" s="383" t="s">
        <v>109</v>
      </c>
      <c r="N6" s="570">
        <f>'TCO TO BE- SW'!$E$25/3</f>
        <v>369849.19999999995</v>
      </c>
      <c r="O6" s="570">
        <f>'TCO TO BE- SW'!$E$25/3</f>
        <v>369849.19999999995</v>
      </c>
      <c r="P6" s="570">
        <f>'TCO TO BE- SW'!$E$25/3</f>
        <v>369849.19999999995</v>
      </c>
      <c r="Q6" s="571">
        <f t="shared" si="1"/>
        <v>1109547.5999999999</v>
      </c>
    </row>
    <row r="7" spans="1:17" x14ac:dyDescent="0.35">
      <c r="A7" s="381"/>
      <c r="B7" s="382"/>
      <c r="C7" s="383" t="s">
        <v>69</v>
      </c>
      <c r="D7" s="570">
        <f>('TCO TO BE- SW'!$E$5+NPV(Faktory!D$5,'TCO TO BE- SW'!$E$6:$E$14)+'TCO TO BE- SW'!$E$15+NPV(Faktory!$D$5,'TCO TO BE- SW'!$E$16:$E$24))/3</f>
        <v>188767.13333333327</v>
      </c>
      <c r="E7" s="570">
        <f>(('TCO TO BE- SW'!$E$5+NPV(Faktory!E$5,'TCO TO BE- SW'!$E$6:$E$14)+'TCO TO BE- SW'!$E$15+NPV(Faktory!$D$5,'TCO TO BE- SW'!$E$16:$E$24))/3)</f>
        <v>188767.13333333327</v>
      </c>
      <c r="F7" s="570">
        <f>(('TCO TO BE- SW'!$E$5+NPV(Faktory!F$5,'TCO TO BE- SW'!$E$6:$E$14)+'TCO TO BE- SW'!$E$15+NPV(Faktory!$D$5,'TCO TO BE- SW'!$E$16:$E$24))/3)</f>
        <v>188767.13333333327</v>
      </c>
      <c r="G7" s="571">
        <f t="shared" si="0"/>
        <v>566301.39999999979</v>
      </c>
      <c r="K7" s="381"/>
      <c r="L7" s="382"/>
      <c r="M7" s="383" t="s">
        <v>69</v>
      </c>
      <c r="N7" s="570">
        <f>('TCO TO BE- SW'!$E$4)/3</f>
        <v>188767.13333333327</v>
      </c>
      <c r="O7" s="570">
        <f>('TCO TO BE- SW'!$E$4)/3</f>
        <v>188767.13333333327</v>
      </c>
      <c r="P7" s="570">
        <f>('TCO TO BE- SW'!$E$4)/3</f>
        <v>188767.13333333327</v>
      </c>
      <c r="Q7" s="571">
        <f t="shared" si="1"/>
        <v>566301.39999999979</v>
      </c>
    </row>
    <row r="8" spans="1:17" x14ac:dyDescent="0.35">
      <c r="A8" s="381"/>
      <c r="B8" s="382"/>
      <c r="C8" s="383" t="s">
        <v>68</v>
      </c>
      <c r="D8" s="570">
        <f>('TCO TO BE - HW'!F4+NPV(Faktory!$D$5,'TCO TO BE - HW'!F5:F13)+'TCO TO BE - HW'!F14+NPV(Faktory!$D$5,'TCO TO BE - HW'!F15:F23)+'TCO TO BE - HW'!F24+NPV(Faktory!$D$5,'TCO TO BE - HW'!F25:F33))/3</f>
        <v>233333.33333333334</v>
      </c>
      <c r="E8" s="570">
        <v>233333.33333333334</v>
      </c>
      <c r="F8" s="570">
        <v>233333.33333333334</v>
      </c>
      <c r="G8" s="571">
        <f>SUM(D8:F8)</f>
        <v>700000</v>
      </c>
      <c r="K8" s="381"/>
      <c r="L8" s="382"/>
      <c r="M8" s="383" t="s">
        <v>68</v>
      </c>
      <c r="N8" s="570">
        <f>('TCO TO BE - HW'!$E$3)/3</f>
        <v>233333.33333333334</v>
      </c>
      <c r="O8" s="570">
        <f>('TCO TO BE - HW'!$E$3)/3</f>
        <v>233333.33333333334</v>
      </c>
      <c r="P8" s="570">
        <f>('TCO TO BE - HW'!$E$3)/3</f>
        <v>233333.33333333334</v>
      </c>
      <c r="Q8" s="571">
        <f t="shared" si="1"/>
        <v>700000</v>
      </c>
    </row>
    <row r="9" spans="1:17" x14ac:dyDescent="0.35">
      <c r="A9" s="378"/>
      <c r="B9" s="379" t="s">
        <v>219</v>
      </c>
      <c r="C9" s="380"/>
      <c r="D9" s="568">
        <f>SUM(D10:D12)</f>
        <v>765466.86413048417</v>
      </c>
      <c r="E9" s="568">
        <f t="shared" ref="E9:F9" si="2">SUM(E10:E12)</f>
        <v>765466.86413048417</v>
      </c>
      <c r="F9" s="568">
        <f t="shared" si="2"/>
        <v>765466.86413048417</v>
      </c>
      <c r="G9" s="569">
        <f>SUM(D9:F9)</f>
        <v>2296400.5923914528</v>
      </c>
      <c r="K9" s="378"/>
      <c r="L9" s="379" t="s">
        <v>219</v>
      </c>
      <c r="M9" s="380"/>
      <c r="N9" s="568">
        <f>SUM(N10:N12)</f>
        <v>1503242.3489999999</v>
      </c>
      <c r="O9" s="568">
        <f>SUM(O10:O12)</f>
        <v>1503242.3489999999</v>
      </c>
      <c r="P9" s="568">
        <f>SUM(P10:P12)</f>
        <v>1503242.3489999999</v>
      </c>
      <c r="Q9" s="569">
        <f t="shared" si="1"/>
        <v>4509727.0470000003</v>
      </c>
    </row>
    <row r="10" spans="1:17" x14ac:dyDescent="0.35">
      <c r="A10" s="381"/>
      <c r="B10" s="382"/>
      <c r="C10" s="383" t="s">
        <v>109</v>
      </c>
      <c r="D10" s="570">
        <f>('TCO TO BE- SW'!E79+NPV(Faktory!$D$5,'TCO TO BE- SW'!$E$80:$E$88)+'TCO TO BE- SW'!$E$109+NPV(Faktory!$D$5,'TCO TO BE- SW'!$E$110:$E$118))/3</f>
        <v>316229.64437855128</v>
      </c>
      <c r="E10" s="570">
        <f>('TCO TO BE- SW'!F79+NPV(Faktory!$D$5,'TCO TO BE- SW'!$E$80:$E$88)+'TCO TO BE- SW'!$E$109+NPV(Faktory!$D$5,'TCO TO BE- SW'!$E$110:$E$118))/3</f>
        <v>316229.64437855128</v>
      </c>
      <c r="F10" s="570">
        <f>('TCO TO BE- SW'!G79+NPV(Faktory!$D$5,'TCO TO BE- SW'!$E$80:$E$88)+'TCO TO BE- SW'!$E$109+NPV(Faktory!$D$5,'TCO TO BE- SW'!$E$110:$E$118))/3</f>
        <v>316229.64437855128</v>
      </c>
      <c r="G10" s="571">
        <f t="shared" si="0"/>
        <v>948688.93313565385</v>
      </c>
      <c r="K10" s="381"/>
      <c r="L10" s="382"/>
      <c r="M10" s="383" t="s">
        <v>109</v>
      </c>
      <c r="N10" s="570">
        <f>'TCO TO BE- SW'!$E$78/3</f>
        <v>934413.36562499998</v>
      </c>
      <c r="O10" s="570">
        <f>'TCO TO BE- SW'!$E$78/3</f>
        <v>934413.36562499998</v>
      </c>
      <c r="P10" s="570">
        <f>'TCO TO BE- SW'!$E$78/3</f>
        <v>934413.36562499998</v>
      </c>
      <c r="Q10" s="571">
        <f t="shared" si="1"/>
        <v>2803240.0968749998</v>
      </c>
    </row>
    <row r="11" spans="1:17" x14ac:dyDescent="0.35">
      <c r="A11" s="381"/>
      <c r="B11" s="382"/>
      <c r="C11" s="383" t="s">
        <v>69</v>
      </c>
      <c r="D11" s="570">
        <f>(NPV(Faktory!$D$5,'TCO TO BE- SW'!$E$59,'TCO TO BE- SW'!$E$60:$E$68))/3</f>
        <v>266573.42156927002</v>
      </c>
      <c r="E11" s="570">
        <f>(NPV(Faktory!$D$5,'TCO TO BE- SW'!$E$59,'TCO TO BE- SW'!$E$60:$E$68))/3</f>
        <v>266573.42156927002</v>
      </c>
      <c r="F11" s="570">
        <f>(NPV(Faktory!$D$5,'TCO TO BE- SW'!$E$59,'TCO TO BE- SW'!$E$60:$E$68))/3</f>
        <v>266573.42156927002</v>
      </c>
      <c r="G11" s="571">
        <f>SUM(D11:F11)</f>
        <v>799720.26470781001</v>
      </c>
      <c r="K11" s="381"/>
      <c r="L11" s="382"/>
      <c r="M11" s="383" t="s">
        <v>69</v>
      </c>
      <c r="N11" s="570">
        <f>'TCO TO BE- SW'!$E$57/3</f>
        <v>337538.12400000001</v>
      </c>
      <c r="O11" s="570">
        <f>'TCO TO BE- SW'!$E$57/3</f>
        <v>337538.12400000001</v>
      </c>
      <c r="P11" s="570">
        <f>'TCO TO BE- SW'!$E$57/3</f>
        <v>337538.12400000001</v>
      </c>
      <c r="Q11" s="571">
        <f t="shared" si="1"/>
        <v>1012614.372</v>
      </c>
    </row>
    <row r="12" spans="1:17" x14ac:dyDescent="0.35">
      <c r="A12" s="381"/>
      <c r="B12" s="382"/>
      <c r="C12" s="383" t="s">
        <v>68</v>
      </c>
      <c r="D12" s="570">
        <f>(NPV(5%,'TCO TO BE - HW'!$F$36:$F$44)+NPV(5%,'TCO TO BE - HW'!$F$66:$F$74))/3</f>
        <v>182663.79818266278</v>
      </c>
      <c r="E12" s="570">
        <f>(NPV(5%,'TCO TO BE - HW'!$F$36:$F$44)+NPV(5%,'TCO TO BE - HW'!$F$66:$F$74))/3</f>
        <v>182663.79818266278</v>
      </c>
      <c r="F12" s="570">
        <f>(NPV(5%,'TCO TO BE - HW'!$F$36:$F$44)+NPV(5%,'TCO TO BE - HW'!$F$66:$F$74))/3</f>
        <v>182663.79818266278</v>
      </c>
      <c r="G12" s="571">
        <f t="shared" si="0"/>
        <v>547991.39454798831</v>
      </c>
      <c r="K12" s="381"/>
      <c r="L12" s="382"/>
      <c r="M12" s="383" t="s">
        <v>68</v>
      </c>
      <c r="N12" s="570">
        <f>'TCO TO BE - HW'!$E$34/3</f>
        <v>231290.859375</v>
      </c>
      <c r="O12" s="570">
        <f>'TCO TO BE - HW'!$E$34/3</f>
        <v>231290.859375</v>
      </c>
      <c r="P12" s="570">
        <f>'TCO TO BE - HW'!$E$34/3</f>
        <v>231290.859375</v>
      </c>
      <c r="Q12" s="571">
        <f t="shared" si="1"/>
        <v>693872.578125</v>
      </c>
    </row>
    <row r="13" spans="1:17" x14ac:dyDescent="0.35">
      <c r="A13" s="381"/>
      <c r="B13" s="379" t="s">
        <v>319</v>
      </c>
      <c r="C13" s="380"/>
      <c r="D13" s="635">
        <f>('TCO TO BE- SW'!$E$130+NPV(0.05,'TCO TO BE- SW'!$E$131:$E$139)+'TCO TO BE- SW'!$E$140+NPV(0.05,'TCO TO BE- SW'!$E$141:$E$149))/3</f>
        <v>54830.683333333327</v>
      </c>
      <c r="E13" s="635">
        <f>('TCO TO BE- SW'!$E$130+NPV(0.05,'TCO TO BE- SW'!$E$131:$E$139)+'TCO TO BE- SW'!$E$140+NPV(0.05,'TCO TO BE- SW'!$E$141:$E$149))/3</f>
        <v>54830.683333333327</v>
      </c>
      <c r="F13" s="635">
        <f>('TCO TO BE- SW'!$E$130+NPV(0.05,'TCO TO BE- SW'!$E$131:$E$139)+'TCO TO BE- SW'!$E$140+NPV(0.05,'TCO TO BE- SW'!$E$141:$E$149))/3</f>
        <v>54830.683333333327</v>
      </c>
      <c r="G13" s="569">
        <f t="shared" si="0"/>
        <v>164492.04999999999</v>
      </c>
      <c r="K13" s="381"/>
      <c r="L13" s="379" t="s">
        <v>319</v>
      </c>
      <c r="M13" s="380"/>
      <c r="N13" s="635">
        <f>'TCO TO BE- SW'!$E$129/3</f>
        <v>54830.683333333327</v>
      </c>
      <c r="O13" s="635">
        <f>'TCO TO BE- SW'!$E$129/3</f>
        <v>54830.683333333327</v>
      </c>
      <c r="P13" s="635">
        <f>'TCO TO BE- SW'!$E$129/3</f>
        <v>54830.683333333327</v>
      </c>
      <c r="Q13" s="569">
        <f t="shared" si="1"/>
        <v>164492.04999999999</v>
      </c>
    </row>
    <row r="14" spans="1:17" x14ac:dyDescent="0.35">
      <c r="A14" s="381"/>
      <c r="B14" s="379" t="s">
        <v>348</v>
      </c>
      <c r="C14" s="380"/>
      <c r="D14" s="635">
        <f>'TCO TO BE- SW'!F151+NPV(0.05,'TCO TO BE- SW'!F152:F160)+'TCO TO BE- SW'!F161+NPV(0.05,'TCO TO BE- SW'!F162:F170)</f>
        <v>0</v>
      </c>
      <c r="E14" s="635">
        <f>'TCO TO BE- SW'!G151+NPV(0.05,'TCO TO BE- SW'!G152:G160)+'TCO TO BE- SW'!G161+NPV(0.05,'TCO TO BE- SW'!G162:G170)</f>
        <v>0</v>
      </c>
      <c r="F14" s="635">
        <f>'TCO TO BE- SW'!H151+NPV(0.05,'TCO TO BE- SW'!H152:H160)+'TCO TO BE- SW'!H161+NPV(0.05,'TCO TO BE- SW'!H162:H170)</f>
        <v>0</v>
      </c>
      <c r="G14" s="569">
        <f t="shared" si="0"/>
        <v>0</v>
      </c>
      <c r="K14" s="381"/>
      <c r="L14" s="379" t="s">
        <v>348</v>
      </c>
      <c r="M14" s="380"/>
      <c r="N14" s="635">
        <f>'TCO TO BE- SW'!F150</f>
        <v>0</v>
      </c>
      <c r="O14" s="635">
        <f>'TCO TO BE- SW'!G150</f>
        <v>0</v>
      </c>
      <c r="P14" s="635">
        <f>'TCO TO BE- SW'!H150</f>
        <v>0</v>
      </c>
      <c r="Q14" s="569">
        <f t="shared" si="1"/>
        <v>0</v>
      </c>
    </row>
    <row r="15" spans="1:17" x14ac:dyDescent="0.35">
      <c r="A15" s="374" t="s">
        <v>214</v>
      </c>
      <c r="B15" s="375"/>
      <c r="C15" s="376"/>
      <c r="D15" s="566">
        <f>D16+D19</f>
        <v>103089.98327979624</v>
      </c>
      <c r="E15" s="566">
        <f>E16+E19</f>
        <v>167300.06914012978</v>
      </c>
      <c r="F15" s="566">
        <f>F16+F19</f>
        <v>14933283.112674326</v>
      </c>
      <c r="G15" s="567">
        <f t="shared" si="0"/>
        <v>15203673.165094253</v>
      </c>
      <c r="K15" s="374" t="s">
        <v>214</v>
      </c>
      <c r="L15" s="375"/>
      <c r="M15" s="376"/>
      <c r="N15" s="377">
        <f>N16+N19</f>
        <v>130533.64193103448</v>
      </c>
      <c r="O15" s="377">
        <f>O16+O19</f>
        <v>211837.14096551726</v>
      </c>
      <c r="P15" s="377">
        <f>P16+P19</f>
        <v>20537665.421586208</v>
      </c>
      <c r="Q15" s="545">
        <f t="shared" si="1"/>
        <v>20880036.20448276</v>
      </c>
    </row>
    <row r="16" spans="1:17" x14ac:dyDescent="0.35">
      <c r="A16" s="378"/>
      <c r="B16" s="379" t="s">
        <v>17</v>
      </c>
      <c r="C16" s="380"/>
      <c r="D16" s="568">
        <f>D17+D18</f>
        <v>0</v>
      </c>
      <c r="E16" s="568">
        <f>E17+E18</f>
        <v>0</v>
      </c>
      <c r="F16" s="568">
        <f>F17+F18</f>
        <v>0</v>
      </c>
      <c r="G16" s="569">
        <f t="shared" si="0"/>
        <v>0</v>
      </c>
      <c r="K16" s="378"/>
      <c r="L16" s="379" t="s">
        <v>17</v>
      </c>
      <c r="M16" s="380"/>
      <c r="N16" s="568">
        <f>N17+N18</f>
        <v>0</v>
      </c>
      <c r="O16" s="568">
        <f>O17+O18</f>
        <v>0</v>
      </c>
      <c r="P16" s="568">
        <f>P17+P18</f>
        <v>0</v>
      </c>
      <c r="Q16" s="569">
        <f t="shared" si="1"/>
        <v>0</v>
      </c>
    </row>
    <row r="17" spans="1:18" x14ac:dyDescent="0.35">
      <c r="A17" s="381"/>
      <c r="B17" s="382"/>
      <c r="C17" s="383" t="s">
        <v>47</v>
      </c>
      <c r="D17" s="570">
        <f>'Parametre - Agendové IS'!I116+NPV(Faktory!$D$3,'Parametre - Agendové IS'!I117:I125)</f>
        <v>0</v>
      </c>
      <c r="E17" s="570">
        <f>'Parametre - Agendové IS'!L116+NPV(Faktory!$D$3,'Parametre - Agendové IS'!L117:L125)</f>
        <v>0</v>
      </c>
      <c r="F17" s="570">
        <f>'Parametre - Agendové IS'!O116+NPV(Faktory!$D$3,'Parametre - Agendové IS'!O117:O125)</f>
        <v>0</v>
      </c>
      <c r="G17" s="571">
        <f t="shared" si="0"/>
        <v>0</v>
      </c>
      <c r="K17" s="381"/>
      <c r="L17" s="382"/>
      <c r="M17" s="383" t="s">
        <v>47</v>
      </c>
      <c r="N17" s="570">
        <f>SUM('Parametre - Agendové IS'!I116:I125)</f>
        <v>0</v>
      </c>
      <c r="O17" s="570">
        <f>SUM('Parametre - Agendové IS'!L116:L125)</f>
        <v>0</v>
      </c>
      <c r="P17" s="570">
        <f>SUM('Parametre - Agendové IS'!O116:O125)</f>
        <v>0</v>
      </c>
      <c r="Q17" s="571">
        <f t="shared" si="1"/>
        <v>0</v>
      </c>
    </row>
    <row r="18" spans="1:18" x14ac:dyDescent="0.35">
      <c r="A18" s="381"/>
      <c r="B18" s="382"/>
      <c r="C18" s="383" t="s">
        <v>48</v>
      </c>
      <c r="D18" s="570"/>
      <c r="E18" s="570"/>
      <c r="F18" s="570"/>
      <c r="G18" s="571">
        <f>'Prínosy - Agendové IS'!G15</f>
        <v>0</v>
      </c>
      <c r="H18" s="546"/>
      <c r="K18" s="381"/>
      <c r="L18" s="382"/>
      <c r="M18" s="383" t="s">
        <v>48</v>
      </c>
      <c r="N18" s="570"/>
      <c r="O18" s="570"/>
      <c r="P18" s="570"/>
      <c r="Q18" s="571">
        <f>'Prínosy - Agendové IS'!G14</f>
        <v>0</v>
      </c>
      <c r="R18" s="546"/>
    </row>
    <row r="19" spans="1:18" x14ac:dyDescent="0.35">
      <c r="A19" s="378"/>
      <c r="B19" s="379" t="s">
        <v>18</v>
      </c>
      <c r="C19" s="380"/>
      <c r="D19" s="568">
        <f>D20+D21+D23</f>
        <v>103089.98327979624</v>
      </c>
      <c r="E19" s="568">
        <f>E20+E21+E23</f>
        <v>167300.06914012978</v>
      </c>
      <c r="F19" s="568">
        <f>F20+F21+F23</f>
        <v>14933283.112674326</v>
      </c>
      <c r="G19" s="569">
        <f>SUM(D19:F19)</f>
        <v>15203673.165094253</v>
      </c>
      <c r="K19" s="378"/>
      <c r="L19" s="379" t="s">
        <v>18</v>
      </c>
      <c r="M19" s="380"/>
      <c r="N19" s="568">
        <f>N20+N21+N23</f>
        <v>130533.64193103448</v>
      </c>
      <c r="O19" s="568">
        <f>O20+O21+O23</f>
        <v>211837.14096551726</v>
      </c>
      <c r="P19" s="568">
        <f>P20+P21+P23</f>
        <v>20537665.421586208</v>
      </c>
      <c r="Q19" s="569">
        <f>SUM(N19:P19)</f>
        <v>20880036.20448276</v>
      </c>
    </row>
    <row r="20" spans="1:18" x14ac:dyDescent="0.35">
      <c r="A20" s="381"/>
      <c r="B20" s="382"/>
      <c r="C20" s="383" t="s">
        <v>216</v>
      </c>
      <c r="D20" s="570">
        <f>'Parametre - Agendové IS'!I96+NPV(Faktory!$D$5,'Parametre - Agendové IS'!I97:I105)</f>
        <v>0</v>
      </c>
      <c r="E20" s="570">
        <f>'Parametre - Agendové IS'!L96+NPV(Faktory!$D$5,'Parametre - Agendové IS'!L97:L105)</f>
        <v>0</v>
      </c>
      <c r="F20" s="570">
        <f>'Parametre - Agendové IS'!O96+NPV(Faktory!$D$5,'Parametre - Agendové IS'!O97:O105)</f>
        <v>0</v>
      </c>
      <c r="G20" s="571">
        <f>SUM(D20:F20)</f>
        <v>0</v>
      </c>
      <c r="K20" s="381"/>
      <c r="L20" s="382"/>
      <c r="M20" s="383" t="s">
        <v>216</v>
      </c>
      <c r="N20" s="570">
        <f>SUM('Parametre - Agendové IS'!I96:I105)</f>
        <v>0</v>
      </c>
      <c r="O20" s="570">
        <f>SUM('Parametre - Agendové IS'!L96:L105)</f>
        <v>0</v>
      </c>
      <c r="P20" s="570">
        <f>SUM('Parametre - Agendové IS'!O96:O105)</f>
        <v>0</v>
      </c>
      <c r="Q20" s="571">
        <f>SUM(N20:P20)</f>
        <v>0</v>
      </c>
    </row>
    <row r="21" spans="1:18" x14ac:dyDescent="0.35">
      <c r="A21" s="381"/>
      <c r="B21" s="382"/>
      <c r="C21" s="383" t="s">
        <v>215</v>
      </c>
      <c r="D21" s="570">
        <f>-('Parametre - Agendové IS'!I76+NPV(Faktory!$D$5,'Parametre - Agendové IS'!I77:I85))</f>
        <v>103089.98327979624</v>
      </c>
      <c r="E21" s="570">
        <f>-('Parametre - Agendové IS'!L76+NPV(Faktory!$D$5,'Parametre - Agendové IS'!L77:L85))</f>
        <v>167300.06914012978</v>
      </c>
      <c r="F21" s="570">
        <f>-('Parametre - Agendové IS'!O76+NPV(Faktory!$D$5,'Parametre - Agendové IS'!O77:O85))</f>
        <v>81686.621326351742</v>
      </c>
      <c r="G21" s="571">
        <f>SUM(D21:F21)</f>
        <v>352076.67374627781</v>
      </c>
      <c r="K21" s="381"/>
      <c r="L21" s="382"/>
      <c r="M21" s="383" t="s">
        <v>215</v>
      </c>
      <c r="N21" s="570">
        <f>-(SUM('Parametre - Agendové IS'!I76:I85))</f>
        <v>130533.64193103448</v>
      </c>
      <c r="O21" s="570">
        <f>-(SUM('Parametre - Agendové IS'!L76:L85))</f>
        <v>211837.14096551726</v>
      </c>
      <c r="P21" s="570">
        <f>-(SUM('Parametre - Agendové IS'!O76:O85))</f>
        <v>103432.4755862069</v>
      </c>
      <c r="Q21" s="571">
        <f>SUM(N21:P21)</f>
        <v>445803.25848275865</v>
      </c>
    </row>
    <row r="22" spans="1:18" x14ac:dyDescent="0.35">
      <c r="A22" s="381"/>
      <c r="B22" s="382"/>
      <c r="C22" s="383" t="s">
        <v>217</v>
      </c>
      <c r="D22" s="572" t="s">
        <v>220</v>
      </c>
      <c r="E22" s="572" t="s">
        <v>220</v>
      </c>
      <c r="F22" s="572" t="s">
        <v>220</v>
      </c>
      <c r="G22" s="573" t="s">
        <v>220</v>
      </c>
      <c r="K22" s="381"/>
      <c r="L22" s="382"/>
      <c r="M22" s="383" t="s">
        <v>217</v>
      </c>
      <c r="N22" s="570">
        <f>SUM('Parametre - Agendové IS'!I86:I95)</f>
        <v>-5.6880952380952383</v>
      </c>
      <c r="O22" s="570">
        <f>SUM('Parametre - Agendové IS'!L86:L95)</f>
        <v>-9.2309523809523792</v>
      </c>
      <c r="P22" s="570">
        <f>SUM('Parametre - Agendové IS'!O86:O95)</f>
        <v>-4.507142857142858</v>
      </c>
      <c r="Q22" s="571">
        <f>SUM(N22:P22)</f>
        <v>-19.426190476190477</v>
      </c>
    </row>
    <row r="23" spans="1:18" ht="15" thickBot="1" x14ac:dyDescent="0.4">
      <c r="A23" s="384"/>
      <c r="B23" s="385"/>
      <c r="C23" s="386" t="s">
        <v>39</v>
      </c>
      <c r="D23" s="574">
        <f>'Parametre - Agendové IS'!I126+NPV(Faktory!$D$5,'Parametre - Agendové IS'!I127:I135)</f>
        <v>0</v>
      </c>
      <c r="E23" s="574">
        <f>'Parametre - Agendové IS'!L126+NPV(Faktory!$D$5,'Parametre - Agendové IS'!L127:L135)</f>
        <v>0</v>
      </c>
      <c r="F23" s="574">
        <f>'Parametre - Agendové IS'!O126+NPV(Faktory!$D$5,'Parametre - Agendové IS'!O127:O135)</f>
        <v>14851596.491347974</v>
      </c>
      <c r="G23" s="575">
        <f>SUM(D23:F23)</f>
        <v>14851596.491347974</v>
      </c>
      <c r="K23" s="381"/>
      <c r="L23" s="382"/>
      <c r="M23" s="383" t="s">
        <v>39</v>
      </c>
      <c r="N23" s="570">
        <f>SUM('Parametre - Agendové IS'!I126:I135)</f>
        <v>0</v>
      </c>
      <c r="O23" s="570">
        <f>SUM('Parametre - Agendové IS'!L126:L135)</f>
        <v>0</v>
      </c>
      <c r="P23" s="570">
        <f>SUM('Parametre - Agendové IS'!O126:O135)</f>
        <v>20434232.946000002</v>
      </c>
      <c r="Q23" s="576">
        <f>SUM(N23:P23)</f>
        <v>20434232.946000002</v>
      </c>
    </row>
    <row r="24" spans="1:18" x14ac:dyDescent="0.35">
      <c r="A24" s="547"/>
      <c r="B24" s="379" t="s">
        <v>221</v>
      </c>
      <c r="C24" s="380"/>
      <c r="D24" s="633"/>
      <c r="E24" s="634"/>
      <c r="F24" s="634"/>
      <c r="G24" s="636"/>
      <c r="K24" s="547"/>
      <c r="L24" s="379" t="s">
        <v>221</v>
      </c>
      <c r="M24" s="380"/>
      <c r="N24" s="633"/>
      <c r="O24" s="634"/>
      <c r="P24" s="634"/>
      <c r="Q24" s="636"/>
    </row>
    <row r="25" spans="1:18" x14ac:dyDescent="0.35">
      <c r="A25" s="548"/>
      <c r="B25" s="549"/>
      <c r="C25" s="550" t="s">
        <v>223</v>
      </c>
      <c r="D25" s="551"/>
      <c r="E25" s="551"/>
      <c r="F25" s="551"/>
      <c r="G25" s="551"/>
      <c r="K25" s="548"/>
      <c r="L25" s="549"/>
      <c r="M25" s="550" t="s">
        <v>223</v>
      </c>
      <c r="N25" s="551"/>
      <c r="O25" s="551"/>
      <c r="P25" s="551"/>
      <c r="Q25" s="551"/>
    </row>
    <row r="26" spans="1:18" x14ac:dyDescent="0.35">
      <c r="A26" s="548"/>
      <c r="B26" s="549"/>
      <c r="C26" s="552" t="s">
        <v>222</v>
      </c>
      <c r="D26" s="551"/>
      <c r="E26" s="551"/>
      <c r="F26" s="551"/>
      <c r="G26" s="551"/>
      <c r="K26" s="548"/>
      <c r="L26" s="549"/>
      <c r="M26" s="552" t="s">
        <v>222</v>
      </c>
      <c r="N26" s="551"/>
      <c r="O26" s="551"/>
      <c r="P26" s="551"/>
      <c r="Q26" s="551"/>
    </row>
    <row r="27" spans="1:18" x14ac:dyDescent="0.35">
      <c r="A27" s="548"/>
      <c r="B27" s="549"/>
      <c r="C27" s="552" t="s">
        <v>222</v>
      </c>
      <c r="D27" s="551"/>
      <c r="E27" s="551"/>
      <c r="F27" s="551"/>
      <c r="G27" s="551"/>
      <c r="K27" s="548"/>
      <c r="L27" s="549"/>
      <c r="M27" s="552" t="s">
        <v>222</v>
      </c>
      <c r="N27" s="551"/>
      <c r="O27" s="551"/>
      <c r="P27" s="551"/>
      <c r="Q27" s="551"/>
    </row>
    <row r="28" spans="1:18" x14ac:dyDescent="0.35">
      <c r="C28" s="553"/>
      <c r="M28" s="553"/>
    </row>
    <row r="29" spans="1:18" x14ac:dyDescent="0.35">
      <c r="C29" s="553"/>
      <c r="M29" s="553"/>
    </row>
    <row r="30" spans="1:18" x14ac:dyDescent="0.35">
      <c r="C30" s="553"/>
    </row>
    <row r="32" spans="1:18" x14ac:dyDescent="0.35">
      <c r="J32" s="554"/>
      <c r="K32" s="554"/>
    </row>
  </sheetData>
  <sheetProtection insertColumns="0" insertRows="0" deleteColumns="0" deleteRows="0"/>
  <mergeCells count="4">
    <mergeCell ref="K1:M1"/>
    <mergeCell ref="A1:C1"/>
    <mergeCell ref="K2:M2"/>
    <mergeCell ref="A2:C2"/>
  </mergeCells>
  <pageMargins left="0.7" right="0.7" top="0.75" bottom="0.75" header="0.3" footer="0.3"/>
  <pageSetup paperSize="9" scale="53" orientation="portrait" r:id="rId1"/>
  <colBreaks count="1" manualBreakCount="1">
    <brk id="8"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2"/>
  <sheetViews>
    <sheetView tabSelected="1" view="pageBreakPreview" topLeftCell="E4" zoomScale="110" zoomScaleNormal="100" zoomScaleSheetLayoutView="110" workbookViewId="0">
      <selection activeCell="L21" sqref="L21"/>
    </sheetView>
  </sheetViews>
  <sheetFormatPr defaultColWidth="8.81640625" defaultRowHeight="14.5" x14ac:dyDescent="0.35"/>
  <cols>
    <col min="1" max="1" width="9.26953125" customWidth="1"/>
    <col min="2" max="2" width="15" customWidth="1"/>
    <col min="3" max="3" width="15.1796875" customWidth="1"/>
    <col min="4" max="4" width="14.1796875" customWidth="1"/>
    <col min="5" max="5" width="14.453125" customWidth="1"/>
    <col min="6" max="6" width="15.1796875" customWidth="1"/>
    <col min="7" max="7" width="13.7265625" customWidth="1"/>
    <col min="8" max="8" width="9.81640625" customWidth="1"/>
    <col min="9" max="9" width="22.7265625" customWidth="1"/>
    <col min="10" max="10" width="22.1796875" customWidth="1"/>
    <col min="11" max="11" width="20.453125" customWidth="1"/>
    <col min="12" max="12" width="23.1796875" customWidth="1"/>
  </cols>
  <sheetData>
    <row r="1" spans="1:12" ht="15" thickBot="1" x14ac:dyDescent="0.4">
      <c r="A1" s="9"/>
      <c r="B1" s="731" t="s">
        <v>36</v>
      </c>
      <c r="C1" s="732"/>
      <c r="D1" s="732"/>
      <c r="E1" s="732"/>
      <c r="F1" s="732"/>
      <c r="G1" s="733"/>
      <c r="H1" s="734" t="s">
        <v>16</v>
      </c>
      <c r="I1" s="735"/>
      <c r="J1" s="735"/>
      <c r="K1" s="735"/>
      <c r="L1" s="736"/>
    </row>
    <row r="2" spans="1:12" ht="29" x14ac:dyDescent="0.35">
      <c r="A2" s="10"/>
      <c r="B2" s="734" t="s">
        <v>359</v>
      </c>
      <c r="C2" s="735"/>
      <c r="D2" s="736"/>
      <c r="E2" s="734" t="s">
        <v>360</v>
      </c>
      <c r="F2" s="735"/>
      <c r="G2" s="736"/>
      <c r="H2" s="55" t="s">
        <v>19</v>
      </c>
      <c r="I2" s="50" t="s">
        <v>20</v>
      </c>
      <c r="J2" s="12" t="s">
        <v>21</v>
      </c>
      <c r="K2" s="737" t="s">
        <v>22</v>
      </c>
      <c r="L2" s="738"/>
    </row>
    <row r="3" spans="1:12" ht="15" thickBot="1" x14ac:dyDescent="0.4">
      <c r="A3" s="11" t="s">
        <v>23</v>
      </c>
      <c r="B3" s="14" t="s">
        <v>226</v>
      </c>
      <c r="C3" s="15" t="s">
        <v>170</v>
      </c>
      <c r="D3" s="16" t="s">
        <v>24</v>
      </c>
      <c r="E3" s="14" t="s">
        <v>226</v>
      </c>
      <c r="F3" s="15" t="s">
        <v>170</v>
      </c>
      <c r="G3" s="16" t="s">
        <v>24</v>
      </c>
      <c r="H3" s="56"/>
      <c r="I3" s="51"/>
      <c r="J3" s="13"/>
      <c r="K3" s="729"/>
      <c r="L3" s="730"/>
    </row>
    <row r="4" spans="1:12" x14ac:dyDescent="0.35">
      <c r="A4" s="49" t="s">
        <v>25</v>
      </c>
      <c r="B4" s="27">
        <f>'Prínosy - Agendové IS'!Q4-'Výdavky - Agendové IS'!T4</f>
        <v>0</v>
      </c>
      <c r="C4" s="26">
        <f>'Prínosy - Agendové IS'!R4-'Výdavky - Agendové IS'!U4</f>
        <v>-2540341.0499999998</v>
      </c>
      <c r="D4" s="34">
        <f>C4-B4</f>
        <v>-2540341.0499999998</v>
      </c>
      <c r="E4" s="27">
        <f>'Prínosy - Agendové IS'!T4-('Výdavky - Agendové IS'!T4/1.2)</f>
        <v>-39146.129164750957</v>
      </c>
      <c r="F4" s="27">
        <f>'Prínosy - Agendové IS'!U4-('Výdavky - Agendové IS'!U4/1.2)</f>
        <v>-2156097.0041647512</v>
      </c>
      <c r="G4" s="34">
        <f t="shared" ref="G4:G13" si="0">F4-E4</f>
        <v>-2116950.875</v>
      </c>
      <c r="H4" s="57">
        <v>0</v>
      </c>
      <c r="I4" s="52">
        <f>D4*(1/(1+Faktory!$D$3)^H4)</f>
        <v>-2540341.0499999998</v>
      </c>
      <c r="J4" s="59">
        <f>G4*(1/(1+Faktory!$D$5)^H4)</f>
        <v>-2116950.875</v>
      </c>
      <c r="K4" s="58">
        <f>J4</f>
        <v>-2116950.875</v>
      </c>
      <c r="L4" s="31" t="str">
        <f>IF(K4&gt;0,"Rok návratu investície","&lt;")</f>
        <v>&lt;</v>
      </c>
    </row>
    <row r="5" spans="1:12" x14ac:dyDescent="0.35">
      <c r="A5" s="33" t="s">
        <v>26</v>
      </c>
      <c r="B5" s="27">
        <f>'Prínosy - Agendové IS'!Q5-'Výdavky - Agendové IS'!T5</f>
        <v>0</v>
      </c>
      <c r="C5" s="26">
        <f>'Prínosy - Agendové IS'!R5-'Výdavky - Agendové IS'!U5</f>
        <v>-501080.78299999994</v>
      </c>
      <c r="D5" s="29">
        <f t="shared" ref="D5:D13" si="1">C5-B5</f>
        <v>-501080.78299999994</v>
      </c>
      <c r="E5" s="27">
        <f>'Prínosy - Agendové IS'!T5-('Výdavky - Agendové IS'!T5/1.2)</f>
        <v>-51191.091984674327</v>
      </c>
      <c r="F5" s="27">
        <f>'Prínosy - Agendové IS'!U5-('Výdavky - Agendové IS'!U5/1.2)</f>
        <v>-214882.38630436777</v>
      </c>
      <c r="G5" s="29">
        <f t="shared" si="0"/>
        <v>-163691.29431969344</v>
      </c>
      <c r="H5" s="57">
        <v>1</v>
      </c>
      <c r="I5" s="53">
        <f>D5*(1/(1+Faktory!$D$3)^H5)</f>
        <v>-481808.44519230758</v>
      </c>
      <c r="J5" s="60">
        <f>G5*(1/(1+Faktory!$D$5)^H5)</f>
        <v>-155896.4707806604</v>
      </c>
      <c r="K5" s="58">
        <f>J5+K4</f>
        <v>-2272847.3457806604</v>
      </c>
      <c r="L5" s="31" t="str">
        <f>IF(L4="&lt;",IF(K5&gt;0,"Rok návratu investície","&lt;"),"&gt;")</f>
        <v>&lt;</v>
      </c>
    </row>
    <row r="6" spans="1:12" x14ac:dyDescent="0.35">
      <c r="A6" s="33" t="s">
        <v>27</v>
      </c>
      <c r="B6" s="27">
        <f>'Prínosy - Agendové IS'!Q6-'Výdavky - Agendové IS'!T6</f>
        <v>0</v>
      </c>
      <c r="C6" s="26">
        <f>'Prínosy - Agendové IS'!R6-'Výdavky - Agendové IS'!U6</f>
        <v>-501080.78299999994</v>
      </c>
      <c r="D6" s="29">
        <f t="shared" si="1"/>
        <v>-501080.78299999994</v>
      </c>
      <c r="E6" s="27">
        <f>'Prínosy - Agendové IS'!T6-('Výdavky - Agendové IS'!T6/1.2)</f>
        <v>-51191.091984674327</v>
      </c>
      <c r="F6" s="27">
        <f>'Prínosy - Agendové IS'!U6-('Výdavky - Agendové IS'!U6/1.2)</f>
        <v>-112711.22157436778</v>
      </c>
      <c r="G6" s="29">
        <f t="shared" si="0"/>
        <v>-61520.129589693453</v>
      </c>
      <c r="H6" s="57">
        <v>2</v>
      </c>
      <c r="I6" s="53">
        <f>D6*(1/(1+Faktory!$D$3)^H6)</f>
        <v>-463277.35114644957</v>
      </c>
      <c r="J6" s="60">
        <f>G6*(1/(1+Faktory!$D$5)^H6)</f>
        <v>-55800.571056411289</v>
      </c>
      <c r="K6" s="58">
        <f t="shared" ref="K6:K13" si="2">J6+K5</f>
        <v>-2328647.9168370715</v>
      </c>
      <c r="L6" s="31" t="str">
        <f t="shared" ref="L6:L13" si="3">IF(L5="&lt;",IF(K6&gt;0,"Rok návratu investície","&lt;"),"&gt;")</f>
        <v>&lt;</v>
      </c>
    </row>
    <row r="7" spans="1:12" x14ac:dyDescent="0.35">
      <c r="A7" s="33" t="s">
        <v>28</v>
      </c>
      <c r="B7" s="27">
        <f>'Prínosy - Agendové IS'!Q7-'Výdavky - Agendové IS'!T7</f>
        <v>0</v>
      </c>
      <c r="C7" s="26">
        <f>'Prínosy - Agendové IS'!R7-'Výdavky - Agendové IS'!U7</f>
        <v>-501080.78299999994</v>
      </c>
      <c r="D7" s="29">
        <f t="shared" si="1"/>
        <v>-501080.78299999994</v>
      </c>
      <c r="E7" s="27">
        <f>'Prínosy - Agendové IS'!T7-('Výdavky - Agendové IS'!T7/1.2)</f>
        <v>-51191.091984674327</v>
      </c>
      <c r="F7" s="27">
        <f>'Prínosy - Agendové IS'!U7-('Výdavky - Agendové IS'!U7/1.2)</f>
        <v>398144.60207563237</v>
      </c>
      <c r="G7" s="29">
        <f t="shared" si="0"/>
        <v>449335.69406030671</v>
      </c>
      <c r="H7" s="57">
        <v>3</v>
      </c>
      <c r="I7" s="53">
        <f>D7*(1/(1+Faktory!$D$3)^H7)</f>
        <v>-445458.9914869708</v>
      </c>
      <c r="J7" s="60">
        <f>G7*(1/(1+Faktory!$D$5)^H7)</f>
        <v>388153.06689152936</v>
      </c>
      <c r="K7" s="58">
        <f t="shared" si="2"/>
        <v>-1940494.8499455422</v>
      </c>
      <c r="L7" s="31" t="str">
        <f t="shared" si="3"/>
        <v>&lt;</v>
      </c>
    </row>
    <row r="8" spans="1:12" x14ac:dyDescent="0.35">
      <c r="A8" s="33" t="s">
        <v>29</v>
      </c>
      <c r="B8" s="27">
        <f>'Prínosy - Agendové IS'!Q8-'Výdavky - Agendové IS'!T8</f>
        <v>0</v>
      </c>
      <c r="C8" s="26">
        <f>'Prínosy - Agendové IS'!R8-'Výdavky - Agendové IS'!U8</f>
        <v>-501080.78299999994</v>
      </c>
      <c r="D8" s="29">
        <f t="shared" si="1"/>
        <v>-501080.78299999994</v>
      </c>
      <c r="E8" s="27">
        <f>'Prínosy - Agendové IS'!T8-('Výdavky - Agendové IS'!T8/1.2)</f>
        <v>-51191.091984674327</v>
      </c>
      <c r="F8" s="27">
        <f>'Prínosy - Agendové IS'!U8-('Výdavky - Agendové IS'!U8/1.2)</f>
        <v>1624198.5788356327</v>
      </c>
      <c r="G8" s="29">
        <f t="shared" si="0"/>
        <v>1675389.670820307</v>
      </c>
      <c r="H8" s="57">
        <v>4</v>
      </c>
      <c r="I8" s="53">
        <f>D8*(1/(1+Faktory!$D$3)^H8)</f>
        <v>-428325.95335285651</v>
      </c>
      <c r="J8" s="60">
        <f>G8*(1/(1+Faktory!$D$5)^H8)</f>
        <v>1378347.2284246231</v>
      </c>
      <c r="K8" s="58">
        <f t="shared" si="2"/>
        <v>-562147.62152091903</v>
      </c>
      <c r="L8" s="31" t="str">
        <f t="shared" si="3"/>
        <v>&lt;</v>
      </c>
    </row>
    <row r="9" spans="1:12" x14ac:dyDescent="0.35">
      <c r="A9" s="33" t="s">
        <v>30</v>
      </c>
      <c r="B9" s="27">
        <f>'Prínosy - Agendové IS'!Q9-'Výdavky - Agendové IS'!T9</f>
        <v>0</v>
      </c>
      <c r="C9" s="26">
        <f>'Prínosy - Agendové IS'!R9-'Výdavky - Agendové IS'!U9</f>
        <v>-501080.78299999994</v>
      </c>
      <c r="D9" s="29">
        <f t="shared" si="1"/>
        <v>-501080.78299999994</v>
      </c>
      <c r="E9" s="27">
        <f>'Prínosy - Agendové IS'!T9-('Výdavky - Agendové IS'!T9/1.2)</f>
        <v>-51191.091984674327</v>
      </c>
      <c r="F9" s="27">
        <f>'Prínosy - Agendové IS'!U9-('Výdavky - Agendové IS'!U9/1.2)</f>
        <v>2032883.2377556323</v>
      </c>
      <c r="G9" s="29">
        <f t="shared" si="0"/>
        <v>2084074.3297403066</v>
      </c>
      <c r="H9" s="57">
        <v>5</v>
      </c>
      <c r="I9" s="53">
        <f>D9*(1/(1+Faktory!$D$3)^H9)</f>
        <v>-411851.87822390039</v>
      </c>
      <c r="J9" s="60">
        <f>G9*(1/(1+Faktory!$D$5)^H9)</f>
        <v>1632926.7702167456</v>
      </c>
      <c r="K9" s="58">
        <f t="shared" si="2"/>
        <v>1070779.1486958265</v>
      </c>
      <c r="L9" s="31" t="str">
        <f t="shared" si="3"/>
        <v>Rok návratu investície</v>
      </c>
    </row>
    <row r="10" spans="1:12" x14ac:dyDescent="0.35">
      <c r="A10" s="33" t="s">
        <v>31</v>
      </c>
      <c r="B10" s="27">
        <f>'Prínosy - Agendové IS'!Q10-'Výdavky - Agendové IS'!T10</f>
        <v>0</v>
      </c>
      <c r="C10" s="26">
        <f>'Prínosy - Agendové IS'!R10-'Výdavky - Agendové IS'!U10</f>
        <v>-501080.78299999994</v>
      </c>
      <c r="D10" s="29">
        <f t="shared" si="1"/>
        <v>-501080.78299999994</v>
      </c>
      <c r="E10" s="27">
        <f>'Prínosy - Agendové IS'!T10-('Výdavky - Agendové IS'!T10/1.2)</f>
        <v>-51191.091984674327</v>
      </c>
      <c r="F10" s="27">
        <f>'Prínosy - Agendové IS'!U10-('Výdavky - Agendové IS'!U10/1.2)</f>
        <v>2645910.2261356325</v>
      </c>
      <c r="G10" s="29">
        <f t="shared" si="0"/>
        <v>2697101.3181203068</v>
      </c>
      <c r="H10" s="57">
        <v>6</v>
      </c>
      <c r="I10" s="53">
        <f>D10*(1/(1+Faktory!$D$3)^H10)</f>
        <v>-396011.42136913503</v>
      </c>
      <c r="J10" s="60">
        <f>G10*(1/(1+Faktory!$D$5)^H10)</f>
        <v>2012618.5298703159</v>
      </c>
      <c r="K10" s="58">
        <f t="shared" si="2"/>
        <v>3083397.6785661425</v>
      </c>
      <c r="L10" s="31" t="str">
        <f t="shared" si="3"/>
        <v>&gt;</v>
      </c>
    </row>
    <row r="11" spans="1:12" x14ac:dyDescent="0.35">
      <c r="A11" s="33" t="s">
        <v>32</v>
      </c>
      <c r="B11" s="27">
        <f>'Prínosy - Agendové IS'!Q11-'Výdavky - Agendové IS'!T11</f>
        <v>0</v>
      </c>
      <c r="C11" s="26">
        <f>'Prínosy - Agendové IS'!R11-'Výdavky - Agendové IS'!U11</f>
        <v>-501080.78299999994</v>
      </c>
      <c r="D11" s="29">
        <f t="shared" si="1"/>
        <v>-501080.78299999994</v>
      </c>
      <c r="E11" s="27">
        <f>'Prínosy - Agendové IS'!T11-('Výdavky - Agendové IS'!T11/1.2)</f>
        <v>-51191.091984674327</v>
      </c>
      <c r="F11" s="27">
        <f>'Prínosy - Agendové IS'!U11-('Výdavky - Agendové IS'!U11/1.2)</f>
        <v>2748081.3908656323</v>
      </c>
      <c r="G11" s="29">
        <f t="shared" si="0"/>
        <v>2799272.4828503067</v>
      </c>
      <c r="H11" s="57">
        <v>7</v>
      </c>
      <c r="I11" s="53">
        <f>D11*(1/(1+Faktory!$D$3)^H11)</f>
        <v>-380780.21285493759</v>
      </c>
      <c r="J11" s="60">
        <f>G11*(1/(1+Faktory!$D$5)^H11)</f>
        <v>1989390.6915087036</v>
      </c>
      <c r="K11" s="58">
        <f t="shared" si="2"/>
        <v>5072788.3700748459</v>
      </c>
      <c r="L11" s="31" t="str">
        <f t="shared" si="3"/>
        <v>&gt;</v>
      </c>
    </row>
    <row r="12" spans="1:12" x14ac:dyDescent="0.35">
      <c r="A12" s="33" t="s">
        <v>33</v>
      </c>
      <c r="B12" s="27">
        <f>'Prínosy - Agendové IS'!Q12-'Výdavky - Agendové IS'!T12</f>
        <v>0</v>
      </c>
      <c r="C12" s="26">
        <f>'Prínosy - Agendové IS'!R12-'Výdavky - Agendové IS'!U12</f>
        <v>-501080.78299999994</v>
      </c>
      <c r="D12" s="29">
        <f t="shared" si="1"/>
        <v>-501080.78299999994</v>
      </c>
      <c r="E12" s="27">
        <f>'Prínosy - Agendové IS'!T12-('Výdavky - Agendové IS'!T12/1.2)</f>
        <v>-51191.091984674327</v>
      </c>
      <c r="F12" s="27">
        <f>'Prínosy - Agendové IS'!U12-('Výdavky - Agendové IS'!U12/1.2)</f>
        <v>3667621.8734356328</v>
      </c>
      <c r="G12" s="29">
        <f t="shared" si="0"/>
        <v>3718812.9654203071</v>
      </c>
      <c r="H12" s="57">
        <v>8</v>
      </c>
      <c r="I12" s="53">
        <f>D12*(1/(1+Faktory!$D$3)^H12)</f>
        <v>-366134.82005282451</v>
      </c>
      <c r="J12" s="60">
        <f>G12*(1/(1+Faktory!$D$5)^H12)</f>
        <v>2517038.9950190913</v>
      </c>
      <c r="K12" s="58">
        <f t="shared" si="2"/>
        <v>7589827.3650939371</v>
      </c>
      <c r="L12" s="31" t="str">
        <f t="shared" si="3"/>
        <v>&gt;</v>
      </c>
    </row>
    <row r="13" spans="1:12" ht="15" thickBot="1" x14ac:dyDescent="0.4">
      <c r="A13" s="33" t="s">
        <v>34</v>
      </c>
      <c r="B13" s="48">
        <f>'Prínosy - Agendové IS'!Q13-'Výdavky - Agendové IS'!T13</f>
        <v>0</v>
      </c>
      <c r="C13" s="44">
        <f>'Prínosy - Agendové IS'!R13-'Výdavky - Agendové IS'!U13</f>
        <v>-501080.78299999994</v>
      </c>
      <c r="D13" s="35">
        <f t="shared" si="1"/>
        <v>-501080.78299999994</v>
      </c>
      <c r="E13" s="27">
        <f>'Prínosy - Agendové IS'!T13-('Výdavky - Agendové IS'!T13/1.2)</f>
        <v>-51191.091984674327</v>
      </c>
      <c r="F13" s="27">
        <f>'Prínosy - Agendové IS'!U13-('Výdavky - Agendové IS'!U13/1.2)</f>
        <v>3871964.202895632</v>
      </c>
      <c r="G13" s="35">
        <f t="shared" si="0"/>
        <v>3923155.2948803063</v>
      </c>
      <c r="H13" s="57">
        <v>9</v>
      </c>
      <c r="I13" s="54">
        <f>D13*(1/(1+Faktory!$D$3)^H13)</f>
        <v>-352052.71158925426</v>
      </c>
      <c r="J13" s="61">
        <f>G13*(1/(1+Faktory!$D$5)^H13)</f>
        <v>2528900.8827869073</v>
      </c>
      <c r="K13" s="58">
        <f t="shared" si="2"/>
        <v>10118728.247880844</v>
      </c>
      <c r="L13" s="31" t="str">
        <f t="shared" si="3"/>
        <v>&gt;</v>
      </c>
    </row>
    <row r="14" spans="1:12" ht="15" thickBot="1" x14ac:dyDescent="0.4">
      <c r="A14" s="63" t="s">
        <v>35</v>
      </c>
      <c r="B14" s="45">
        <f t="shared" ref="B14:G14" si="4">SUM(B4:B13)</f>
        <v>0</v>
      </c>
      <c r="C14" s="46">
        <f t="shared" si="4"/>
        <v>-7050068.0969999982</v>
      </c>
      <c r="D14" s="46">
        <f t="shared" si="4"/>
        <v>-7050068.0969999982</v>
      </c>
      <c r="E14" s="46">
        <f t="shared" si="4"/>
        <v>-499865.95702681993</v>
      </c>
      <c r="F14" s="46">
        <f t="shared" si="4"/>
        <v>14505113.499955939</v>
      </c>
      <c r="G14" s="47">
        <f t="shared" si="4"/>
        <v>15004979.45698276</v>
      </c>
      <c r="H14" s="64" t="s">
        <v>35</v>
      </c>
      <c r="I14" s="194">
        <f>SUM(I4:I13)</f>
        <v>-6266042.8352686381</v>
      </c>
      <c r="J14" s="195">
        <f>SUM(J4:J13)</f>
        <v>10118728.247880844</v>
      </c>
      <c r="K14" s="7"/>
      <c r="L14" s="7"/>
    </row>
    <row r="16" spans="1:12" ht="15" thickBot="1" x14ac:dyDescent="0.4">
      <c r="H16" s="108" t="s">
        <v>183</v>
      </c>
      <c r="J16" s="205" t="s">
        <v>172</v>
      </c>
      <c r="K16" s="205" t="s">
        <v>181</v>
      </c>
    </row>
    <row r="17" spans="5:11" s="147" customFormat="1" ht="15" thickBot="1" x14ac:dyDescent="0.35">
      <c r="H17" s="199" t="s">
        <v>122</v>
      </c>
      <c r="I17" s="201" t="s">
        <v>178</v>
      </c>
      <c r="J17" s="202">
        <f>'Prínosy - Agendové IS'!V15/('Výdavky - Agendové IS'!V15/1.2)</f>
        <v>2.9899386153873979</v>
      </c>
      <c r="K17" s="206">
        <v>1</v>
      </c>
    </row>
    <row r="18" spans="5:11" s="147" customFormat="1" ht="21.5" thickBot="1" x14ac:dyDescent="0.35">
      <c r="H18" s="200" t="s">
        <v>175</v>
      </c>
      <c r="I18" s="201" t="s">
        <v>179</v>
      </c>
      <c r="J18" s="203" t="e">
        <f>IRR($D$4:$D$13,0.01)</f>
        <v>#NUM!</v>
      </c>
      <c r="K18" s="207" t="s">
        <v>182</v>
      </c>
    </row>
    <row r="19" spans="5:11" s="147" customFormat="1" ht="21.5" thickBot="1" x14ac:dyDescent="0.35">
      <c r="E19" s="196"/>
      <c r="H19" s="200" t="s">
        <v>176</v>
      </c>
      <c r="I19" s="201" t="s">
        <v>180</v>
      </c>
      <c r="J19" s="203">
        <f>IRR($G$4:$G$13,0.01)</f>
        <v>0.37623319740146477</v>
      </c>
      <c r="K19" s="207">
        <v>0.05</v>
      </c>
    </row>
    <row r="20" spans="5:11" ht="15" thickBot="1" x14ac:dyDescent="0.4">
      <c r="H20" s="197"/>
      <c r="I20" s="198"/>
      <c r="J20" s="197"/>
      <c r="K20" s="208"/>
    </row>
    <row r="21" spans="5:11" s="147" customFormat="1" ht="21.5" thickBot="1" x14ac:dyDescent="0.35">
      <c r="H21" s="200" t="s">
        <v>177</v>
      </c>
      <c r="I21" s="201" t="s">
        <v>363</v>
      </c>
      <c r="J21" s="204">
        <f>I14</f>
        <v>-6266042.8352686381</v>
      </c>
      <c r="K21" s="209" t="s">
        <v>182</v>
      </c>
    </row>
    <row r="22" spans="5:11" s="147" customFormat="1" ht="21.5" thickBot="1" x14ac:dyDescent="0.35">
      <c r="H22" s="200" t="s">
        <v>73</v>
      </c>
      <c r="I22" s="201" t="s">
        <v>362</v>
      </c>
      <c r="J22" s="204">
        <f>J14</f>
        <v>10118728.247880844</v>
      </c>
      <c r="K22" s="209">
        <v>0</v>
      </c>
    </row>
  </sheetData>
  <mergeCells count="6">
    <mergeCell ref="K3:L3"/>
    <mergeCell ref="B1:G1"/>
    <mergeCell ref="H1:L1"/>
    <mergeCell ref="B2:D2"/>
    <mergeCell ref="E2:G2"/>
    <mergeCell ref="K2:L2"/>
  </mergeCells>
  <conditionalFormatting sqref="L4:L13">
    <cfRule type="cellIs" dxfId="4" priority="1" stopIfTrue="1" operator="equal">
      <formula>"Rok návratu investície"</formula>
    </cfRule>
  </conditionalFormatting>
  <pageMargins left="0.7" right="0.7" top="0.75" bottom="0.75" header="0.3" footer="0.3"/>
  <pageSetup paperSize="9" scale="44"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R53"/>
  <sheetViews>
    <sheetView view="pageBreakPreview" zoomScale="60" zoomScaleNormal="80" workbookViewId="0"/>
  </sheetViews>
  <sheetFormatPr defaultColWidth="8.81640625" defaultRowHeight="14.5" x14ac:dyDescent="0.35"/>
  <cols>
    <col min="1" max="1" width="7.81640625" style="62" customWidth="1"/>
    <col min="2" max="2" width="12.7265625" style="62" customWidth="1"/>
    <col min="3" max="3" width="14" style="62" customWidth="1"/>
    <col min="4" max="4" width="9.453125" style="62" customWidth="1"/>
    <col min="5" max="5" width="11.81640625" style="62" customWidth="1"/>
    <col min="6" max="6" width="11.7265625" style="62" customWidth="1"/>
    <col min="7" max="7" width="9.7265625" customWidth="1"/>
    <col min="8" max="8" width="11.453125" customWidth="1"/>
    <col min="9" max="9" width="10.81640625" customWidth="1"/>
    <col min="10" max="10" width="9.453125" customWidth="1"/>
    <col min="11" max="11" width="12.7265625" customWidth="1"/>
    <col min="12" max="12" width="11.453125" customWidth="1"/>
    <col min="13" max="13" width="10.453125" customWidth="1"/>
    <col min="14" max="14" width="13.26953125" customWidth="1"/>
    <col min="15" max="15" width="11.26953125" customWidth="1"/>
    <col min="16" max="16" width="9.7265625" customWidth="1"/>
    <col min="17" max="17" width="14.7265625" customWidth="1"/>
    <col min="18" max="18" width="15.7265625" customWidth="1"/>
  </cols>
  <sheetData>
    <row r="2" spans="1:18" x14ac:dyDescent="0.35">
      <c r="A2" s="237" t="s">
        <v>122</v>
      </c>
      <c r="B2" s="238">
        <f>'CBA - Agendové IS'!J17</f>
        <v>2.9899386153873979</v>
      </c>
    </row>
    <row r="4" spans="1:18" x14ac:dyDescent="0.35">
      <c r="A4" s="228"/>
    </row>
    <row r="5" spans="1:18" ht="30" customHeight="1" x14ac:dyDescent="0.35">
      <c r="A5" s="228"/>
      <c r="B5" s="747" t="s">
        <v>200</v>
      </c>
      <c r="C5" s="748"/>
      <c r="D5" s="246"/>
      <c r="E5" s="747" t="s">
        <v>201</v>
      </c>
      <c r="F5" s="748"/>
      <c r="H5" s="745" t="s">
        <v>196</v>
      </c>
      <c r="I5" s="746"/>
      <c r="J5" s="62"/>
      <c r="K5" s="747" t="s">
        <v>199</v>
      </c>
      <c r="L5" s="748"/>
      <c r="N5" s="745" t="s">
        <v>197</v>
      </c>
      <c r="O5" s="746"/>
      <c r="Q5" s="745" t="s">
        <v>198</v>
      </c>
      <c r="R5" s="746"/>
    </row>
    <row r="6" spans="1:18" x14ac:dyDescent="0.35">
      <c r="A6" s="228"/>
      <c r="B6" s="241" t="s">
        <v>12</v>
      </c>
      <c r="C6" s="240" t="s">
        <v>122</v>
      </c>
      <c r="D6" s="247"/>
      <c r="E6" s="241" t="s">
        <v>12</v>
      </c>
      <c r="F6" s="240" t="s">
        <v>122</v>
      </c>
      <c r="H6" s="241" t="s">
        <v>12</v>
      </c>
      <c r="I6" s="240" t="s">
        <v>122</v>
      </c>
      <c r="J6" s="62"/>
      <c r="K6" s="241" t="s">
        <v>12</v>
      </c>
      <c r="L6" s="240" t="s">
        <v>122</v>
      </c>
      <c r="N6" s="242" t="s">
        <v>12</v>
      </c>
      <c r="O6" s="243" t="s">
        <v>122</v>
      </c>
      <c r="Q6" s="242" t="s">
        <v>12</v>
      </c>
      <c r="R6" s="243" t="s">
        <v>122</v>
      </c>
    </row>
    <row r="7" spans="1:18" ht="15" customHeight="1" x14ac:dyDescent="0.35">
      <c r="A7" s="228"/>
      <c r="B7" s="233">
        <v>0</v>
      </c>
      <c r="C7" s="224">
        <f>B2</f>
        <v>2.9899386153873979</v>
      </c>
      <c r="D7" s="244"/>
      <c r="E7" s="233">
        <v>0</v>
      </c>
      <c r="F7" s="224">
        <f>B2</f>
        <v>2.9899386153873979</v>
      </c>
      <c r="H7" s="233">
        <v>0</v>
      </c>
      <c r="I7" s="224">
        <f>B2</f>
        <v>2.9899386153873979</v>
      </c>
      <c r="J7" s="62"/>
      <c r="K7" s="233">
        <v>0</v>
      </c>
      <c r="L7" s="224">
        <f>B2</f>
        <v>2.9899386153873979</v>
      </c>
      <c r="N7" s="235">
        <v>0</v>
      </c>
      <c r="O7" s="226">
        <f>B2</f>
        <v>2.9899386153873979</v>
      </c>
      <c r="Q7" s="235">
        <v>0</v>
      </c>
      <c r="R7" s="226">
        <f>B2</f>
        <v>2.9899386153873979</v>
      </c>
    </row>
    <row r="8" spans="1:18" x14ac:dyDescent="0.35">
      <c r="A8" s="228"/>
      <c r="B8" s="233">
        <v>0.1</v>
      </c>
      <c r="C8" s="229">
        <f t="dataTable" ref="C8:C17" dt2D="0" dtr="0" r1="B7" ca="1"/>
        <v>2.7181260139885435</v>
      </c>
      <c r="D8" s="245"/>
      <c r="E8" s="233">
        <v>0.1</v>
      </c>
      <c r="F8" s="229">
        <f t="dataTable" ref="F8:F17" dt2D="0" dtr="0" r1="E7"/>
        <v>2.8778852735991478</v>
      </c>
      <c r="H8" s="233">
        <v>-0.1</v>
      </c>
      <c r="I8" s="229">
        <f t="dataTable" ref="I8:I17" dt2D="0" dtr="0" r1="H7" ca="1"/>
        <v>2.6978686572434509</v>
      </c>
      <c r="J8" s="62"/>
      <c r="K8" s="233">
        <v>-0.1</v>
      </c>
      <c r="L8" s="229">
        <f t="dataTable" ref="L8:L17" dt2D="0" dtr="0" r1="K7" ca="1"/>
        <v>2.9909401327972445</v>
      </c>
      <c r="N8" s="235">
        <v>-0.1</v>
      </c>
      <c r="O8" s="231">
        <f t="dataTable" ref="O8:O17" dt2D="0" dtr="0" r1="N7" ca="1"/>
        <v>2.9691652079598789</v>
      </c>
      <c r="Q8" s="235">
        <v>-0.1</v>
      </c>
      <c r="R8" s="231">
        <f t="dataTable" ref="R8:R17" dt2D="0" dtr="0" r1="Q7" ca="1"/>
        <v>2.9899386153873979</v>
      </c>
    </row>
    <row r="9" spans="1:18" x14ac:dyDescent="0.35">
      <c r="A9" s="227"/>
      <c r="B9" s="233">
        <v>0.2</v>
      </c>
      <c r="C9" s="229">
        <v>2.4916155128228312</v>
      </c>
      <c r="D9" s="245"/>
      <c r="E9" s="233">
        <v>0.2</v>
      </c>
      <c r="F9" s="229">
        <v>2.7739273437779537</v>
      </c>
      <c r="H9" s="233">
        <v>-0.2</v>
      </c>
      <c r="I9" s="229">
        <v>2.4057986990995044</v>
      </c>
      <c r="J9" s="62"/>
      <c r="K9" s="233">
        <v>-0.2</v>
      </c>
      <c r="L9" s="229">
        <v>2.9919416502070919</v>
      </c>
      <c r="N9" s="235">
        <v>-0.2</v>
      </c>
      <c r="O9" s="231">
        <v>2.9483918005323591</v>
      </c>
      <c r="Q9" s="235">
        <v>-0.2</v>
      </c>
      <c r="R9" s="231">
        <v>2.9899386153873979</v>
      </c>
    </row>
    <row r="10" spans="1:18" x14ac:dyDescent="0.35">
      <c r="A10" s="227"/>
      <c r="B10" s="233">
        <v>0.3</v>
      </c>
      <c r="C10" s="229">
        <v>2.2999527810672289</v>
      </c>
      <c r="D10" s="245"/>
      <c r="E10" s="233">
        <v>0.3</v>
      </c>
      <c r="F10" s="229">
        <v>2.6772181191605147</v>
      </c>
      <c r="H10" s="233">
        <v>-0.3</v>
      </c>
      <c r="I10" s="229">
        <v>2.1137287409555561</v>
      </c>
      <c r="J10" s="62"/>
      <c r="K10" s="233">
        <v>-0.3</v>
      </c>
      <c r="L10" s="229">
        <v>2.9929431676169393</v>
      </c>
      <c r="N10" s="235">
        <v>-0.3</v>
      </c>
      <c r="O10" s="231">
        <v>2.9276183931048401</v>
      </c>
      <c r="Q10" s="235">
        <v>-0.3</v>
      </c>
      <c r="R10" s="231">
        <v>2.9899386153873979</v>
      </c>
    </row>
    <row r="11" spans="1:18" x14ac:dyDescent="0.35">
      <c r="A11" s="227"/>
      <c r="B11" s="233">
        <v>0.4</v>
      </c>
      <c r="C11" s="229">
        <v>2.1356704395624271</v>
      </c>
      <c r="D11" s="245"/>
      <c r="E11" s="233">
        <v>0.4</v>
      </c>
      <c r="F11" s="229">
        <v>2.587024992212196</v>
      </c>
      <c r="H11" s="233">
        <v>-0.4</v>
      </c>
      <c r="I11" s="229">
        <v>1.8216587828116095</v>
      </c>
      <c r="J11" s="62"/>
      <c r="K11" s="233">
        <v>-0.4</v>
      </c>
      <c r="L11" s="229">
        <v>2.9939446850267868</v>
      </c>
      <c r="N11" s="235">
        <v>-0.4</v>
      </c>
      <c r="O11" s="231">
        <v>2.9068449856773206</v>
      </c>
      <c r="Q11" s="235">
        <v>-0.4</v>
      </c>
      <c r="R11" s="231">
        <v>2.9899386153873979</v>
      </c>
    </row>
    <row r="12" spans="1:18" x14ac:dyDescent="0.35">
      <c r="A12" s="227"/>
      <c r="B12" s="233">
        <v>0.5</v>
      </c>
      <c r="C12" s="229">
        <v>1.9932924102582654</v>
      </c>
      <c r="D12" s="245"/>
      <c r="E12" s="233">
        <v>0.5</v>
      </c>
      <c r="F12" s="229">
        <v>2.502710861499188</v>
      </c>
      <c r="H12" s="233">
        <v>-0.5</v>
      </c>
      <c r="I12" s="229">
        <v>1.5295888246676623</v>
      </c>
      <c r="J12" s="62"/>
      <c r="K12" s="233">
        <v>-0.5</v>
      </c>
      <c r="L12" s="229">
        <v>2.9949462024366333</v>
      </c>
      <c r="N12" s="235">
        <v>-0.5</v>
      </c>
      <c r="O12" s="231">
        <v>2.8860715782498012</v>
      </c>
      <c r="Q12" s="235">
        <v>-0.5</v>
      </c>
      <c r="R12" s="231">
        <v>2.9899386153873979</v>
      </c>
    </row>
    <row r="13" spans="1:18" x14ac:dyDescent="0.35">
      <c r="A13" s="227"/>
      <c r="B13" s="233">
        <v>0.6</v>
      </c>
      <c r="C13" s="229">
        <v>1.868711634617124</v>
      </c>
      <c r="D13" s="245"/>
      <c r="E13" s="233">
        <v>0.6</v>
      </c>
      <c r="F13" s="229">
        <v>2.4237190596338229</v>
      </c>
      <c r="H13" s="233">
        <v>-0.6</v>
      </c>
      <c r="I13" s="229">
        <v>1.2375188665237153</v>
      </c>
      <c r="J13" s="62"/>
      <c r="K13" s="233">
        <v>-0.6</v>
      </c>
      <c r="L13" s="229">
        <v>2.9959477198464808</v>
      </c>
      <c r="N13" s="235">
        <v>-0.6</v>
      </c>
      <c r="O13" s="231">
        <v>2.8652981708222822</v>
      </c>
      <c r="Q13" s="235">
        <v>-0.6</v>
      </c>
      <c r="R13" s="231">
        <v>2.9899386153873979</v>
      </c>
    </row>
    <row r="14" spans="1:18" x14ac:dyDescent="0.35">
      <c r="A14" s="223"/>
      <c r="B14" s="233">
        <v>0.7</v>
      </c>
      <c r="C14" s="229">
        <v>1.7587874208161165</v>
      </c>
      <c r="D14" s="245"/>
      <c r="E14" s="233">
        <v>0.7</v>
      </c>
      <c r="F14" s="229">
        <v>2.3495610481584053</v>
      </c>
      <c r="H14" s="233">
        <v>-0.7</v>
      </c>
      <c r="I14" s="229">
        <v>0.94544890837976825</v>
      </c>
      <c r="J14" s="62"/>
      <c r="K14" s="233">
        <v>-0.7</v>
      </c>
      <c r="L14" s="229">
        <v>2.9969492372563278</v>
      </c>
      <c r="N14" s="235">
        <v>-0.7</v>
      </c>
      <c r="O14" s="231">
        <v>2.8445247633947628</v>
      </c>
      <c r="Q14" s="235">
        <v>-0.7</v>
      </c>
      <c r="R14" s="231">
        <v>2.9899386153873979</v>
      </c>
    </row>
    <row r="15" spans="1:18" x14ac:dyDescent="0.35">
      <c r="A15" s="223"/>
      <c r="B15" s="233">
        <v>0.8</v>
      </c>
      <c r="C15" s="229">
        <v>1.6610770085485542</v>
      </c>
      <c r="D15" s="245"/>
      <c r="E15" s="233">
        <v>0.8</v>
      </c>
      <c r="F15" s="229">
        <v>2.2798063043454317</v>
      </c>
      <c r="H15" s="233">
        <v>-0.8</v>
      </c>
      <c r="I15" s="229">
        <v>0.65337895023582093</v>
      </c>
      <c r="J15" s="62"/>
      <c r="K15" s="233">
        <v>-0.8</v>
      </c>
      <c r="L15" s="229">
        <v>2.9979507546661748</v>
      </c>
      <c r="N15" s="235">
        <v>-0.8</v>
      </c>
      <c r="O15" s="231">
        <v>2.8237513559672429</v>
      </c>
      <c r="Q15" s="235">
        <v>-0.8</v>
      </c>
      <c r="R15" s="231">
        <v>2.9899386153873979</v>
      </c>
    </row>
    <row r="16" spans="1:18" x14ac:dyDescent="0.35">
      <c r="A16" s="223"/>
      <c r="B16" s="233">
        <v>0.9</v>
      </c>
      <c r="C16" s="229">
        <v>1.5736519028354725</v>
      </c>
      <c r="D16" s="245"/>
      <c r="E16" s="233">
        <v>0.9</v>
      </c>
      <c r="F16" s="229">
        <v>2.2140739575263204</v>
      </c>
      <c r="H16" s="233">
        <v>-0.9</v>
      </c>
      <c r="I16" s="229">
        <v>0.36130899209187395</v>
      </c>
      <c r="J16" s="62"/>
      <c r="K16" s="233">
        <v>-0.9</v>
      </c>
      <c r="L16" s="229">
        <v>2.9989522720760222</v>
      </c>
      <c r="N16" s="235">
        <v>-0.9</v>
      </c>
      <c r="O16" s="231">
        <v>2.8029779485397235</v>
      </c>
      <c r="Q16" s="235">
        <v>-0.9</v>
      </c>
      <c r="R16" s="231">
        <v>2.9899386153873979</v>
      </c>
    </row>
    <row r="17" spans="1:18" x14ac:dyDescent="0.35">
      <c r="A17" s="223"/>
      <c r="B17" s="234">
        <v>1</v>
      </c>
      <c r="C17" s="230">
        <v>1.494969307693699</v>
      </c>
      <c r="D17" s="245"/>
      <c r="E17" s="234">
        <v>1</v>
      </c>
      <c r="F17" s="230">
        <v>2.1520258317420677</v>
      </c>
      <c r="H17" s="234">
        <v>-1</v>
      </c>
      <c r="I17" s="230">
        <v>6.9239033947926909E-2</v>
      </c>
      <c r="J17" s="62"/>
      <c r="K17" s="234">
        <v>-1</v>
      </c>
      <c r="L17" s="230">
        <v>2.9999537894858692</v>
      </c>
      <c r="N17" s="236">
        <v>-1</v>
      </c>
      <c r="O17" s="232">
        <v>2.7822045411122045</v>
      </c>
      <c r="Q17" s="236">
        <v>-1</v>
      </c>
      <c r="R17" s="232">
        <v>2.9899386153873979</v>
      </c>
    </row>
    <row r="18" spans="1:18" x14ac:dyDescent="0.35">
      <c r="A18" s="227"/>
      <c r="B18" s="228"/>
      <c r="C18" s="228"/>
      <c r="D18" s="228"/>
      <c r="E18" s="228"/>
      <c r="F18" s="228"/>
      <c r="N18" s="239"/>
    </row>
    <row r="19" spans="1:18" x14ac:dyDescent="0.35">
      <c r="A19" s="227"/>
      <c r="B19" s="228"/>
      <c r="C19" s="228"/>
      <c r="D19" s="228"/>
      <c r="E19" s="228"/>
      <c r="F19" s="228"/>
    </row>
    <row r="20" spans="1:18" x14ac:dyDescent="0.35">
      <c r="A20" s="228"/>
      <c r="B20" s="228"/>
      <c r="C20" s="228"/>
      <c r="D20" s="228"/>
      <c r="E20" s="228"/>
      <c r="F20" s="228"/>
    </row>
    <row r="25" spans="1:18" ht="18.75" customHeight="1" x14ac:dyDescent="0.35">
      <c r="B25" s="228"/>
      <c r="C25" s="228"/>
      <c r="D25" s="739" t="s">
        <v>198</v>
      </c>
      <c r="E25" s="740"/>
      <c r="F25" s="740"/>
      <c r="G25" s="740"/>
      <c r="H25" s="740"/>
      <c r="I25" s="740"/>
      <c r="J25" s="740"/>
      <c r="K25" s="740"/>
      <c r="L25" s="740"/>
      <c r="M25" s="740"/>
      <c r="N25" s="741"/>
    </row>
    <row r="26" spans="1:18" x14ac:dyDescent="0.35">
      <c r="B26" s="228"/>
      <c r="C26" s="248">
        <f>B2</f>
        <v>2.9899386153873979</v>
      </c>
      <c r="D26" s="254">
        <v>0</v>
      </c>
      <c r="E26" s="251">
        <v>-0.1</v>
      </c>
      <c r="F26" s="251">
        <v>-0.2</v>
      </c>
      <c r="G26" s="251">
        <v>-0.3</v>
      </c>
      <c r="H26" s="251">
        <v>-0.4</v>
      </c>
      <c r="I26" s="251">
        <v>-0.5</v>
      </c>
      <c r="J26" s="251">
        <v>-0.6</v>
      </c>
      <c r="K26" s="251">
        <v>-0.7</v>
      </c>
      <c r="L26" s="251">
        <v>-0.8</v>
      </c>
      <c r="M26" s="251">
        <v>-0.9</v>
      </c>
      <c r="N26" s="255">
        <v>-1</v>
      </c>
    </row>
    <row r="27" spans="1:18" ht="14.25" customHeight="1" x14ac:dyDescent="0.35">
      <c r="B27" s="742" t="s">
        <v>197</v>
      </c>
      <c r="C27" s="256">
        <v>0</v>
      </c>
      <c r="D27" s="245">
        <f t="dataTable" ref="D27:N37" dt2D="1" dtr="1" r1="Q7" r2="N7" ca="1"/>
        <v>2.9899386153873979</v>
      </c>
      <c r="E27" s="245">
        <v>2.9899386153873979</v>
      </c>
      <c r="F27" s="245">
        <v>2.9899386153873979</v>
      </c>
      <c r="G27" s="250">
        <v>2.9899386153873979</v>
      </c>
      <c r="H27" s="250">
        <v>2.9899386153873979</v>
      </c>
      <c r="I27" s="250">
        <v>2.9899386153873979</v>
      </c>
      <c r="J27" s="250">
        <v>2.9899386153873979</v>
      </c>
      <c r="K27" s="250">
        <v>2.9899386153873979</v>
      </c>
      <c r="L27" s="250">
        <v>2.9899386153873979</v>
      </c>
      <c r="M27" s="250">
        <v>2.9899386153873979</v>
      </c>
      <c r="N27" s="231">
        <v>2.9899386153873979</v>
      </c>
    </row>
    <row r="28" spans="1:18" x14ac:dyDescent="0.35">
      <c r="B28" s="743"/>
      <c r="C28" s="249">
        <v>-0.1</v>
      </c>
      <c r="D28" s="245">
        <v>2.9691652079598789</v>
      </c>
      <c r="E28" s="245">
        <v>2.9691652079598789</v>
      </c>
      <c r="F28" s="245">
        <v>2.9691652079598789</v>
      </c>
      <c r="G28" s="250">
        <v>2.9691652079598789</v>
      </c>
      <c r="H28" s="250">
        <v>2.9691652079598789</v>
      </c>
      <c r="I28" s="250">
        <v>2.9691652079598789</v>
      </c>
      <c r="J28" s="250">
        <v>2.9691652079598789</v>
      </c>
      <c r="K28" s="250">
        <v>2.9691652079598789</v>
      </c>
      <c r="L28" s="250">
        <v>2.9691652079598789</v>
      </c>
      <c r="M28" s="250">
        <v>2.9691652079598789</v>
      </c>
      <c r="N28" s="231">
        <v>2.9691652079598789</v>
      </c>
    </row>
    <row r="29" spans="1:18" x14ac:dyDescent="0.35">
      <c r="B29" s="743"/>
      <c r="C29" s="249">
        <v>-0.2</v>
      </c>
      <c r="D29" s="245">
        <v>2.9483918005323591</v>
      </c>
      <c r="E29" s="245">
        <v>2.9483918005323591</v>
      </c>
      <c r="F29" s="245">
        <v>2.9483918005323591</v>
      </c>
      <c r="G29" s="250">
        <v>2.9483918005323591</v>
      </c>
      <c r="H29" s="250">
        <v>2.9483918005323591</v>
      </c>
      <c r="I29" s="250">
        <v>2.9483918005323591</v>
      </c>
      <c r="J29" s="250">
        <v>2.9483918005323591</v>
      </c>
      <c r="K29" s="250">
        <v>2.9483918005323591</v>
      </c>
      <c r="L29" s="250">
        <v>2.9483918005323591</v>
      </c>
      <c r="M29" s="250">
        <v>2.9483918005323591</v>
      </c>
      <c r="N29" s="231">
        <v>2.9483918005323591</v>
      </c>
    </row>
    <row r="30" spans="1:18" x14ac:dyDescent="0.35">
      <c r="B30" s="743"/>
      <c r="C30" s="249">
        <v>-0.3</v>
      </c>
      <c r="D30" s="245">
        <v>2.9276183931048401</v>
      </c>
      <c r="E30" s="245">
        <v>2.9276183931048401</v>
      </c>
      <c r="F30" s="245">
        <v>2.9276183931048401</v>
      </c>
      <c r="G30" s="250">
        <v>2.9276183931048401</v>
      </c>
      <c r="H30" s="250">
        <v>2.9276183931048401</v>
      </c>
      <c r="I30" s="250">
        <v>2.9276183931048401</v>
      </c>
      <c r="J30" s="250">
        <v>2.9276183931048401</v>
      </c>
      <c r="K30" s="250">
        <v>2.9276183931048401</v>
      </c>
      <c r="L30" s="250">
        <v>2.9276183931048401</v>
      </c>
      <c r="M30" s="250">
        <v>2.9276183931048401</v>
      </c>
      <c r="N30" s="231">
        <v>2.9276183931048401</v>
      </c>
    </row>
    <row r="31" spans="1:18" x14ac:dyDescent="0.35">
      <c r="B31" s="743"/>
      <c r="C31" s="249">
        <v>-0.4</v>
      </c>
      <c r="D31" s="245">
        <v>2.9068449856773206</v>
      </c>
      <c r="E31" s="245">
        <v>2.9068449856773206</v>
      </c>
      <c r="F31" s="245">
        <v>2.9068449856773206</v>
      </c>
      <c r="G31" s="250">
        <v>2.9068449856773206</v>
      </c>
      <c r="H31" s="250">
        <v>2.9068449856773206</v>
      </c>
      <c r="I31" s="250">
        <v>2.9068449856773206</v>
      </c>
      <c r="J31" s="250">
        <v>2.9068449856773206</v>
      </c>
      <c r="K31" s="250">
        <v>2.9068449856773206</v>
      </c>
      <c r="L31" s="250">
        <v>2.9068449856773206</v>
      </c>
      <c r="M31" s="250">
        <v>2.9068449856773206</v>
      </c>
      <c r="N31" s="231">
        <v>2.9068449856773206</v>
      </c>
    </row>
    <row r="32" spans="1:18" x14ac:dyDescent="0.35">
      <c r="B32" s="743"/>
      <c r="C32" s="249">
        <v>-0.5</v>
      </c>
      <c r="D32" s="245">
        <v>2.8860715782498012</v>
      </c>
      <c r="E32" s="245">
        <v>2.8860715782498012</v>
      </c>
      <c r="F32" s="245">
        <v>2.8860715782498012</v>
      </c>
      <c r="G32" s="250">
        <v>2.8860715782498012</v>
      </c>
      <c r="H32" s="250">
        <v>2.8860715782498012</v>
      </c>
      <c r="I32" s="250">
        <v>2.8860715782498012</v>
      </c>
      <c r="J32" s="250">
        <v>2.8860715782498012</v>
      </c>
      <c r="K32" s="250">
        <v>2.8860715782498012</v>
      </c>
      <c r="L32" s="250">
        <v>2.8860715782498012</v>
      </c>
      <c r="M32" s="250">
        <v>2.8860715782498012</v>
      </c>
      <c r="N32" s="231">
        <v>2.8860715782498012</v>
      </c>
    </row>
    <row r="33" spans="2:14" x14ac:dyDescent="0.35">
      <c r="B33" s="743"/>
      <c r="C33" s="249">
        <v>-0.6</v>
      </c>
      <c r="D33" s="245">
        <v>2.8652981708222822</v>
      </c>
      <c r="E33" s="245">
        <v>2.8652981708222822</v>
      </c>
      <c r="F33" s="245">
        <v>2.8652981708222822</v>
      </c>
      <c r="G33" s="250">
        <v>2.8652981708222822</v>
      </c>
      <c r="H33" s="250">
        <v>2.8652981708222822</v>
      </c>
      <c r="I33" s="250">
        <v>2.8652981708222822</v>
      </c>
      <c r="J33" s="250">
        <v>2.8652981708222822</v>
      </c>
      <c r="K33" s="250">
        <v>2.8652981708222822</v>
      </c>
      <c r="L33" s="250">
        <v>2.8652981708222822</v>
      </c>
      <c r="M33" s="250">
        <v>2.8652981708222822</v>
      </c>
      <c r="N33" s="231">
        <v>2.8652981708222822</v>
      </c>
    </row>
    <row r="34" spans="2:14" x14ac:dyDescent="0.35">
      <c r="B34" s="743"/>
      <c r="C34" s="249">
        <v>-0.7</v>
      </c>
      <c r="D34" s="245">
        <v>2.8445247633947628</v>
      </c>
      <c r="E34" s="245">
        <v>2.8445247633947628</v>
      </c>
      <c r="F34" s="245">
        <v>2.8445247633947628</v>
      </c>
      <c r="G34" s="250">
        <v>2.8445247633947628</v>
      </c>
      <c r="H34" s="250">
        <v>2.8445247633947628</v>
      </c>
      <c r="I34" s="250">
        <v>2.8445247633947628</v>
      </c>
      <c r="J34" s="250">
        <v>2.8445247633947628</v>
      </c>
      <c r="K34" s="250">
        <v>2.8445247633947628</v>
      </c>
      <c r="L34" s="250">
        <v>2.8445247633947628</v>
      </c>
      <c r="M34" s="250">
        <v>2.8445247633947628</v>
      </c>
      <c r="N34" s="231">
        <v>2.8445247633947628</v>
      </c>
    </row>
    <row r="35" spans="2:14" x14ac:dyDescent="0.35">
      <c r="B35" s="743"/>
      <c r="C35" s="249">
        <v>-0.8</v>
      </c>
      <c r="D35" s="245">
        <v>2.8237513559672429</v>
      </c>
      <c r="E35" s="245">
        <v>2.8237513559672429</v>
      </c>
      <c r="F35" s="245">
        <v>2.8237513559672429</v>
      </c>
      <c r="G35" s="250">
        <v>2.8237513559672429</v>
      </c>
      <c r="H35" s="250">
        <v>2.8237513559672429</v>
      </c>
      <c r="I35" s="250">
        <v>2.8237513559672429</v>
      </c>
      <c r="J35" s="250">
        <v>2.8237513559672429</v>
      </c>
      <c r="K35" s="250">
        <v>2.8237513559672429</v>
      </c>
      <c r="L35" s="250">
        <v>2.8237513559672429</v>
      </c>
      <c r="M35" s="250">
        <v>2.8237513559672429</v>
      </c>
      <c r="N35" s="231">
        <v>2.8237513559672429</v>
      </c>
    </row>
    <row r="36" spans="2:14" x14ac:dyDescent="0.35">
      <c r="B36" s="743"/>
      <c r="C36" s="249">
        <v>-0.9</v>
      </c>
      <c r="D36" s="245">
        <v>2.8029779485397235</v>
      </c>
      <c r="E36" s="245">
        <v>2.8029779485397235</v>
      </c>
      <c r="F36" s="245">
        <v>2.8029779485397235</v>
      </c>
      <c r="G36" s="250">
        <v>2.8029779485397235</v>
      </c>
      <c r="H36" s="250">
        <v>2.8029779485397235</v>
      </c>
      <c r="I36" s="250">
        <v>2.8029779485397235</v>
      </c>
      <c r="J36" s="250">
        <v>2.8029779485397235</v>
      </c>
      <c r="K36" s="250">
        <v>2.8029779485397235</v>
      </c>
      <c r="L36" s="250">
        <v>2.8029779485397235</v>
      </c>
      <c r="M36" s="250">
        <v>2.8029779485397235</v>
      </c>
      <c r="N36" s="231">
        <v>2.8029779485397235</v>
      </c>
    </row>
    <row r="37" spans="2:14" x14ac:dyDescent="0.35">
      <c r="B37" s="744"/>
      <c r="C37" s="255">
        <v>-1</v>
      </c>
      <c r="D37" s="252">
        <v>2.7822045411122045</v>
      </c>
      <c r="E37" s="252">
        <v>2.7822045411122045</v>
      </c>
      <c r="F37" s="252">
        <v>2.7822045411122045</v>
      </c>
      <c r="G37" s="253">
        <v>2.7822045411122045</v>
      </c>
      <c r="H37" s="253">
        <v>2.7822045411122045</v>
      </c>
      <c r="I37" s="253">
        <v>2.7822045411122045</v>
      </c>
      <c r="J37" s="253">
        <v>2.7822045411122045</v>
      </c>
      <c r="K37" s="253">
        <v>2.7822045411122045</v>
      </c>
      <c r="L37" s="253">
        <v>2.7822045411122045</v>
      </c>
      <c r="M37" s="253">
        <v>2.7822045411122045</v>
      </c>
      <c r="N37" s="232">
        <v>2.7822045411122045</v>
      </c>
    </row>
    <row r="41" spans="2:14" x14ac:dyDescent="0.35">
      <c r="B41" s="228"/>
      <c r="C41" s="228"/>
      <c r="D41" s="739" t="s">
        <v>199</v>
      </c>
      <c r="E41" s="740"/>
      <c r="F41" s="740"/>
      <c r="G41" s="740"/>
      <c r="H41" s="740"/>
      <c r="I41" s="740"/>
      <c r="J41" s="740"/>
      <c r="K41" s="740"/>
      <c r="L41" s="740"/>
      <c r="M41" s="740"/>
      <c r="N41" s="741"/>
    </row>
    <row r="42" spans="2:14" x14ac:dyDescent="0.35">
      <c r="B42" s="228"/>
      <c r="C42" s="248">
        <f>B2</f>
        <v>2.9899386153873979</v>
      </c>
      <c r="D42" s="254">
        <v>0</v>
      </c>
      <c r="E42" s="251">
        <v>-0.1</v>
      </c>
      <c r="F42" s="251">
        <v>-0.2</v>
      </c>
      <c r="G42" s="251">
        <v>-0.3</v>
      </c>
      <c r="H42" s="251">
        <v>-0.4</v>
      </c>
      <c r="I42" s="251">
        <v>-0.5</v>
      </c>
      <c r="J42" s="251">
        <v>-0.6</v>
      </c>
      <c r="K42" s="251">
        <v>-0.7</v>
      </c>
      <c r="L42" s="251">
        <v>-0.8</v>
      </c>
      <c r="M42" s="251">
        <v>-0.9</v>
      </c>
      <c r="N42" s="255">
        <v>-1</v>
      </c>
    </row>
    <row r="43" spans="2:14" x14ac:dyDescent="0.35">
      <c r="B43" s="742" t="s">
        <v>201</v>
      </c>
      <c r="C43" s="256">
        <v>0</v>
      </c>
      <c r="D43" s="245">
        <f t="dataTable" ref="D43:N53" dt2D="1" dtr="1" r1="K7" r2="E7" ca="1"/>
        <v>2.9899386153873979</v>
      </c>
      <c r="E43" s="245">
        <v>2.9909401327972445</v>
      </c>
      <c r="F43" s="245">
        <v>2.9919416502070919</v>
      </c>
      <c r="G43" s="250">
        <v>2.9929431676169393</v>
      </c>
      <c r="H43" s="250">
        <v>2.9939446850267868</v>
      </c>
      <c r="I43" s="250">
        <v>2.9949462024366333</v>
      </c>
      <c r="J43" s="250">
        <v>2.9959477198464808</v>
      </c>
      <c r="K43" s="250">
        <v>2.9969492372563278</v>
      </c>
      <c r="L43" s="250">
        <v>2.9979507546661748</v>
      </c>
      <c r="M43" s="250">
        <v>2.9989522720760222</v>
      </c>
      <c r="N43" s="231">
        <v>2.9999537894858692</v>
      </c>
    </row>
    <row r="44" spans="2:14" x14ac:dyDescent="0.35">
      <c r="B44" s="743"/>
      <c r="C44" s="249">
        <v>0.1</v>
      </c>
      <c r="D44" s="245">
        <v>2.8778852735991478</v>
      </c>
      <c r="E44" s="245">
        <v>2.8788492573378832</v>
      </c>
      <c r="F44" s="245">
        <v>2.8798132410766195</v>
      </c>
      <c r="G44" s="250">
        <v>2.8807772248153558</v>
      </c>
      <c r="H44" s="250">
        <v>2.8817412085540921</v>
      </c>
      <c r="I44" s="250">
        <v>2.8827051922928275</v>
      </c>
      <c r="J44" s="250">
        <v>2.8836691760315638</v>
      </c>
      <c r="K44" s="250">
        <v>2.8846331597702997</v>
      </c>
      <c r="L44" s="250">
        <v>2.8855971435090355</v>
      </c>
      <c r="M44" s="250">
        <v>2.8865611272477718</v>
      </c>
      <c r="N44" s="231">
        <v>2.8875251109865077</v>
      </c>
    </row>
    <row r="45" spans="2:14" x14ac:dyDescent="0.35">
      <c r="B45" s="743"/>
      <c r="C45" s="249">
        <v>0.2</v>
      </c>
      <c r="D45" s="245">
        <v>2.7739273437779537</v>
      </c>
      <c r="E45" s="245">
        <v>2.7748565055052703</v>
      </c>
      <c r="F45" s="245">
        <v>2.7757856672325874</v>
      </c>
      <c r="G45" s="250">
        <v>2.7767148289599044</v>
      </c>
      <c r="H45" s="250">
        <v>2.7776439906872215</v>
      </c>
      <c r="I45" s="250">
        <v>2.7785731524145381</v>
      </c>
      <c r="J45" s="250">
        <v>2.7795023141418547</v>
      </c>
      <c r="K45" s="250">
        <v>2.7804314758691717</v>
      </c>
      <c r="L45" s="250">
        <v>2.7813606375964883</v>
      </c>
      <c r="M45" s="250">
        <v>2.7822897993238054</v>
      </c>
      <c r="N45" s="231">
        <v>2.783218961051122</v>
      </c>
    </row>
    <row r="46" spans="2:14" x14ac:dyDescent="0.35">
      <c r="B46" s="743"/>
      <c r="C46" s="249">
        <v>0.3</v>
      </c>
      <c r="D46" s="245">
        <v>2.6772181191605147</v>
      </c>
      <c r="E46" s="245">
        <v>2.6781148869210627</v>
      </c>
      <c r="F46" s="245">
        <v>2.6790116546816112</v>
      </c>
      <c r="G46" s="250">
        <v>2.6799084224421592</v>
      </c>
      <c r="H46" s="250">
        <v>2.6808051902027077</v>
      </c>
      <c r="I46" s="250">
        <v>2.6817019579632557</v>
      </c>
      <c r="J46" s="250">
        <v>2.6825987257238038</v>
      </c>
      <c r="K46" s="250">
        <v>2.6834954934843518</v>
      </c>
      <c r="L46" s="250">
        <v>2.6843922612448998</v>
      </c>
      <c r="M46" s="250">
        <v>2.6852890290054487</v>
      </c>
      <c r="N46" s="231">
        <v>2.6861857967659963</v>
      </c>
    </row>
    <row r="47" spans="2:14" x14ac:dyDescent="0.35">
      <c r="B47" s="743"/>
      <c r="C47" s="249">
        <v>0.4</v>
      </c>
      <c r="D47" s="245">
        <v>2.587024992212196</v>
      </c>
      <c r="E47" s="245">
        <v>2.5878915486545506</v>
      </c>
      <c r="F47" s="245">
        <v>2.5887581050969062</v>
      </c>
      <c r="G47" s="250">
        <v>2.5896246615392613</v>
      </c>
      <c r="H47" s="250">
        <v>2.5904912179816164</v>
      </c>
      <c r="I47" s="250">
        <v>2.5913577744239711</v>
      </c>
      <c r="J47" s="250">
        <v>2.5922243308663262</v>
      </c>
      <c r="K47" s="250">
        <v>2.5930908873086813</v>
      </c>
      <c r="L47" s="250">
        <v>2.5939574437510364</v>
      </c>
      <c r="M47" s="250">
        <v>2.594824000193392</v>
      </c>
      <c r="N47" s="231">
        <v>2.5956905566357467</v>
      </c>
    </row>
    <row r="48" spans="2:14" x14ac:dyDescent="0.35">
      <c r="B48" s="743"/>
      <c r="C48" s="249">
        <v>0.5</v>
      </c>
      <c r="D48" s="245">
        <v>2.502710861499188</v>
      </c>
      <c r="E48" s="245">
        <v>2.5035491758668158</v>
      </c>
      <c r="F48" s="245">
        <v>2.5043874902344441</v>
      </c>
      <c r="G48" s="250">
        <v>2.5052258046020719</v>
      </c>
      <c r="H48" s="250">
        <v>2.5060641189697002</v>
      </c>
      <c r="I48" s="250">
        <v>2.506902433337328</v>
      </c>
      <c r="J48" s="250">
        <v>2.5077407477049558</v>
      </c>
      <c r="K48" s="250">
        <v>2.5085790620725836</v>
      </c>
      <c r="L48" s="250">
        <v>2.5094173764402119</v>
      </c>
      <c r="M48" s="250">
        <v>2.5102556908078402</v>
      </c>
      <c r="N48" s="231">
        <v>2.5110940051754675</v>
      </c>
    </row>
    <row r="49" spans="2:14" x14ac:dyDescent="0.35">
      <c r="B49" s="743"/>
      <c r="C49" s="249">
        <v>0.6</v>
      </c>
      <c r="D49" s="245">
        <v>2.4237190596338229</v>
      </c>
      <c r="E49" s="245">
        <v>2.4245309147074714</v>
      </c>
      <c r="F49" s="245">
        <v>2.4253427697811212</v>
      </c>
      <c r="G49" s="250">
        <v>2.4261546248547701</v>
      </c>
      <c r="H49" s="250">
        <v>2.4269664799284194</v>
      </c>
      <c r="I49" s="250">
        <v>2.4277783350020683</v>
      </c>
      <c r="J49" s="250">
        <v>2.4285901900757172</v>
      </c>
      <c r="K49" s="250">
        <v>2.4294020451493665</v>
      </c>
      <c r="L49" s="250">
        <v>2.4302139002230154</v>
      </c>
      <c r="M49" s="250">
        <v>2.4310257552966648</v>
      </c>
      <c r="N49" s="231">
        <v>2.4318376103703137</v>
      </c>
    </row>
    <row r="50" spans="2:14" x14ac:dyDescent="0.35">
      <c r="B50" s="743"/>
      <c r="C50" s="249">
        <v>0.7</v>
      </c>
      <c r="D50" s="245">
        <v>2.3495610481584053</v>
      </c>
      <c r="E50" s="245">
        <v>2.3503480630767442</v>
      </c>
      <c r="F50" s="245">
        <v>2.3511350779950844</v>
      </c>
      <c r="G50" s="250">
        <v>2.3519220929134237</v>
      </c>
      <c r="H50" s="250">
        <v>2.3527091078317635</v>
      </c>
      <c r="I50" s="250">
        <v>2.3534961227501028</v>
      </c>
      <c r="J50" s="250">
        <v>2.3542831376684421</v>
      </c>
      <c r="K50" s="250">
        <v>2.3550701525867819</v>
      </c>
      <c r="L50" s="250">
        <v>2.3558571675051212</v>
      </c>
      <c r="M50" s="250">
        <v>2.356644182423461</v>
      </c>
      <c r="N50" s="231">
        <v>2.3574311973418003</v>
      </c>
    </row>
    <row r="51" spans="2:14" x14ac:dyDescent="0.35">
      <c r="B51" s="743"/>
      <c r="C51" s="249">
        <v>0.8</v>
      </c>
      <c r="D51" s="245">
        <v>2.2798063043454317</v>
      </c>
      <c r="E51" s="245">
        <v>2.2805699540381479</v>
      </c>
      <c r="F51" s="245">
        <v>2.2813336037308645</v>
      </c>
      <c r="G51" s="250">
        <v>2.2820972534235806</v>
      </c>
      <c r="H51" s="250">
        <v>2.2828609031162972</v>
      </c>
      <c r="I51" s="250">
        <v>2.2836245528090133</v>
      </c>
      <c r="J51" s="250">
        <v>2.2843882025017295</v>
      </c>
      <c r="K51" s="250">
        <v>2.2851518521944456</v>
      </c>
      <c r="L51" s="250">
        <v>2.2859155018871622</v>
      </c>
      <c r="M51" s="250">
        <v>2.2866791515798788</v>
      </c>
      <c r="N51" s="231">
        <v>2.2874428012725945</v>
      </c>
    </row>
    <row r="52" spans="2:14" x14ac:dyDescent="0.35">
      <c r="B52" s="743"/>
      <c r="C52" s="249">
        <v>0.9</v>
      </c>
      <c r="D52" s="245">
        <v>2.2140739575263204</v>
      </c>
      <c r="E52" s="245">
        <v>2.214815589345696</v>
      </c>
      <c r="F52" s="245">
        <v>2.215557221165072</v>
      </c>
      <c r="G52" s="250">
        <v>2.2162988529844476</v>
      </c>
      <c r="H52" s="250">
        <v>2.2170404848038237</v>
      </c>
      <c r="I52" s="250">
        <v>2.2177821166231992</v>
      </c>
      <c r="J52" s="250">
        <v>2.2185237484425753</v>
      </c>
      <c r="K52" s="250">
        <v>2.2192653802619509</v>
      </c>
      <c r="L52" s="250">
        <v>2.2200070120813269</v>
      </c>
      <c r="M52" s="250">
        <v>2.2207486439007029</v>
      </c>
      <c r="N52" s="231">
        <v>2.2214902757200785</v>
      </c>
    </row>
    <row r="53" spans="2:14" x14ac:dyDescent="0.35">
      <c r="B53" s="744"/>
      <c r="C53" s="255">
        <v>1</v>
      </c>
      <c r="D53" s="252">
        <v>2.1520258317420677</v>
      </c>
      <c r="E53" s="252">
        <v>2.1527466797641099</v>
      </c>
      <c r="F53" s="252">
        <v>2.1534675277861526</v>
      </c>
      <c r="G53" s="253">
        <v>2.1541883758081948</v>
      </c>
      <c r="H53" s="253">
        <v>2.1549092238302379</v>
      </c>
      <c r="I53" s="253">
        <v>2.1556300718522801</v>
      </c>
      <c r="J53" s="253">
        <v>2.1563509198743223</v>
      </c>
      <c r="K53" s="253">
        <v>2.1570717678963649</v>
      </c>
      <c r="L53" s="253">
        <v>2.1577926159184075</v>
      </c>
      <c r="M53" s="253">
        <v>2.1585134639404502</v>
      </c>
      <c r="N53" s="232">
        <v>2.1592343119624924</v>
      </c>
    </row>
  </sheetData>
  <sheetProtection algorithmName="SHA-512" hashValue="dqd+ettbIsAQzamG7hohEAWj7LYgqtK4GHeDrc5QXa4Nl9dV9iy4G95/67sKKPulFay1zzDhIR6amoURKm9xxg==" saltValue="Jdn/cjq3bnIHWs2UgDdX4Q==" spinCount="100000" sheet="1" objects="1" scenarios="1"/>
  <mergeCells count="10">
    <mergeCell ref="D25:N25"/>
    <mergeCell ref="B27:B37"/>
    <mergeCell ref="D41:N41"/>
    <mergeCell ref="B43:B53"/>
    <mergeCell ref="Q5:R5"/>
    <mergeCell ref="N5:O5"/>
    <mergeCell ref="K5:L5"/>
    <mergeCell ref="B5:C5"/>
    <mergeCell ref="H5:I5"/>
    <mergeCell ref="E5:F5"/>
  </mergeCells>
  <conditionalFormatting sqref="D27:N37">
    <cfRule type="colorScale" priority="2">
      <colorScale>
        <cfvo type="min"/>
        <cfvo type="num" val="1"/>
        <cfvo type="max"/>
        <color rgb="FFF8696B"/>
        <color rgb="FFFFEB84"/>
        <color rgb="FF63BE7B"/>
      </colorScale>
    </cfRule>
  </conditionalFormatting>
  <conditionalFormatting sqref="D43:N53">
    <cfRule type="colorScale" priority="1">
      <colorScale>
        <cfvo type="min"/>
        <cfvo type="num" val="1"/>
        <cfvo type="max"/>
        <color rgb="FFF8696B"/>
        <color rgb="FFFFEB84"/>
        <color rgb="FF63BE7B"/>
      </colorScale>
    </cfRule>
  </conditionalFormatting>
  <pageMargins left="0.7" right="0.7" top="0.75" bottom="0.75" header="0.3" footer="0.3"/>
  <pageSetup paperSize="9" scale="4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C"/>
  </sheetPr>
  <dimension ref="A1:V38"/>
  <sheetViews>
    <sheetView view="pageBreakPreview" zoomScale="90" zoomScaleNormal="85" zoomScaleSheetLayoutView="90" workbookViewId="0">
      <selection activeCell="M17" sqref="M17"/>
    </sheetView>
  </sheetViews>
  <sheetFormatPr defaultColWidth="8.81640625" defaultRowHeight="14.5" x14ac:dyDescent="0.35"/>
  <cols>
    <col min="1" max="1" width="9.453125" customWidth="1"/>
    <col min="2" max="3" width="14.26953125" bestFit="1" customWidth="1"/>
    <col min="4" max="4" width="13.453125" customWidth="1"/>
    <col min="5" max="5" width="11.1796875" customWidth="1"/>
    <col min="6" max="6" width="12" customWidth="1"/>
    <col min="8" max="8" width="12" customWidth="1"/>
    <col min="9" max="9" width="14" customWidth="1"/>
    <col min="10" max="10" width="14.81640625" customWidth="1"/>
    <col min="11" max="11" width="13.453125" customWidth="1"/>
    <col min="12" max="12" width="13.453125" bestFit="1" customWidth="1"/>
    <col min="13" max="16" width="13.81640625" customWidth="1"/>
    <col min="17" max="17" width="14.7265625" customWidth="1"/>
    <col min="18" max="18" width="14" customWidth="1"/>
    <col min="19" max="19" width="14.453125" customWidth="1"/>
    <col min="20" max="20" width="14.26953125" bestFit="1" customWidth="1"/>
    <col min="21" max="21" width="13.7265625" customWidth="1"/>
    <col min="22" max="22" width="15.453125" customWidth="1"/>
  </cols>
  <sheetData>
    <row r="1" spans="1:22" ht="15.75" customHeight="1" thickBot="1" x14ac:dyDescent="0.4">
      <c r="A1" s="18"/>
      <c r="B1" s="731" t="s">
        <v>44</v>
      </c>
      <c r="C1" s="732"/>
      <c r="D1" s="733"/>
      <c r="E1" s="731" t="s">
        <v>45</v>
      </c>
      <c r="F1" s="732"/>
      <c r="G1" s="732"/>
      <c r="H1" s="732"/>
      <c r="I1" s="732"/>
      <c r="J1" s="732"/>
      <c r="K1" s="732"/>
      <c r="L1" s="732"/>
      <c r="M1" s="732"/>
      <c r="N1" s="732"/>
      <c r="O1" s="732"/>
      <c r="P1" s="733"/>
      <c r="Q1" s="734" t="s">
        <v>46</v>
      </c>
      <c r="R1" s="735"/>
      <c r="S1" s="735"/>
      <c r="T1" s="735"/>
      <c r="U1" s="735"/>
      <c r="V1" s="736"/>
    </row>
    <row r="2" spans="1:22" ht="24" customHeight="1" x14ac:dyDescent="0.35">
      <c r="A2" s="8"/>
      <c r="B2" s="734" t="s">
        <v>47</v>
      </c>
      <c r="C2" s="735"/>
      <c r="D2" s="736"/>
      <c r="E2" s="749" t="s">
        <v>48</v>
      </c>
      <c r="F2" s="750"/>
      <c r="G2" s="751"/>
      <c r="H2" s="752" t="s">
        <v>49</v>
      </c>
      <c r="I2" s="750"/>
      <c r="J2" s="751"/>
      <c r="K2" s="752" t="s">
        <v>50</v>
      </c>
      <c r="L2" s="750"/>
      <c r="M2" s="751"/>
      <c r="N2" s="752" t="s">
        <v>192</v>
      </c>
      <c r="O2" s="750"/>
      <c r="P2" s="753"/>
      <c r="Q2" s="735" t="s">
        <v>17</v>
      </c>
      <c r="R2" s="735"/>
      <c r="S2" s="736"/>
      <c r="T2" s="735" t="s">
        <v>18</v>
      </c>
      <c r="U2" s="735"/>
      <c r="V2" s="736"/>
    </row>
    <row r="3" spans="1:22" ht="18.649999999999999" customHeight="1" thickBot="1" x14ac:dyDescent="0.4">
      <c r="A3" s="19" t="s">
        <v>23</v>
      </c>
      <c r="B3" s="23" t="s">
        <v>226</v>
      </c>
      <c r="C3" s="20" t="s">
        <v>170</v>
      </c>
      <c r="D3" s="24" t="s">
        <v>24</v>
      </c>
      <c r="E3" s="14" t="s">
        <v>226</v>
      </c>
      <c r="F3" s="15" t="s">
        <v>170</v>
      </c>
      <c r="G3" s="22" t="s">
        <v>24</v>
      </c>
      <c r="H3" s="21" t="s">
        <v>226</v>
      </c>
      <c r="I3" s="15" t="s">
        <v>170</v>
      </c>
      <c r="J3" s="22" t="s">
        <v>24</v>
      </c>
      <c r="K3" s="21" t="s">
        <v>226</v>
      </c>
      <c r="L3" s="15" t="s">
        <v>170</v>
      </c>
      <c r="M3" s="22" t="s">
        <v>24</v>
      </c>
      <c r="N3" s="21" t="s">
        <v>226</v>
      </c>
      <c r="O3" s="15" t="s">
        <v>170</v>
      </c>
      <c r="P3" s="16" t="s">
        <v>24</v>
      </c>
      <c r="Q3" s="15" t="s">
        <v>226</v>
      </c>
      <c r="R3" s="15" t="s">
        <v>170</v>
      </c>
      <c r="S3" s="16" t="s">
        <v>24</v>
      </c>
      <c r="T3" s="15" t="s">
        <v>226</v>
      </c>
      <c r="U3" s="15" t="s">
        <v>170</v>
      </c>
      <c r="V3" s="16" t="s">
        <v>24</v>
      </c>
    </row>
    <row r="4" spans="1:22" x14ac:dyDescent="0.35">
      <c r="A4" s="32" t="s">
        <v>25</v>
      </c>
      <c r="B4" s="27">
        <f>'Parametre - Agendové IS'!D116</f>
        <v>0</v>
      </c>
      <c r="C4" s="27">
        <f>'Parametre - Agendové IS'!E116</f>
        <v>0</v>
      </c>
      <c r="D4" s="29">
        <f>IF(ISERR(C4-B4),"-",C4-B4)</f>
        <v>0</v>
      </c>
      <c r="E4" s="387"/>
      <c r="F4" s="388"/>
      <c r="G4" s="34">
        <f t="shared" ref="G4:G13" si="0">IF(ISERR(F4-E4),"-",F4-E4)</f>
        <v>0</v>
      </c>
      <c r="H4" s="30">
        <v>0</v>
      </c>
      <c r="I4" s="26">
        <f>'Parametre - Agendové IS'!E96</f>
        <v>0</v>
      </c>
      <c r="J4" s="34">
        <f>IF(ISERR(I4-H4),"-",I4-H4)</f>
        <v>0</v>
      </c>
      <c r="K4" s="27">
        <f>'Parametre - Agendové IS'!D126</f>
        <v>0</v>
      </c>
      <c r="L4" s="27">
        <f>'Parametre - Agendové IS'!E126</f>
        <v>0</v>
      </c>
      <c r="M4" s="29">
        <f>IF(ISERR(L4-K4),"-",L4-K4)</f>
        <v>0</v>
      </c>
      <c r="N4" s="26">
        <f>-'Parametre - Agendové IS'!D76</f>
        <v>-39146.129164750957</v>
      </c>
      <c r="O4" s="26">
        <f>-'Parametre - Agendové IS'!E76</f>
        <v>-39146.129164750957</v>
      </c>
      <c r="P4" s="34">
        <f t="shared" ref="P4:P13" si="1">IF(ISERR(O4-N4),"-",O4-N4)</f>
        <v>0</v>
      </c>
      <c r="Q4" s="27">
        <f>SUM(B4,E4)</f>
        <v>0</v>
      </c>
      <c r="R4" s="26">
        <f t="shared" ref="R4:R13" si="2">SUM(C4,F4)</f>
        <v>0</v>
      </c>
      <c r="S4" s="29">
        <f>R4-Q4</f>
        <v>0</v>
      </c>
      <c r="T4" s="27">
        <f>SUM(H4,K4,N4)</f>
        <v>-39146.129164750957</v>
      </c>
      <c r="U4" s="26">
        <f>SUM(I4,L4,O4)</f>
        <v>-39146.129164750957</v>
      </c>
      <c r="V4" s="29">
        <f>U4-T4</f>
        <v>0</v>
      </c>
    </row>
    <row r="5" spans="1:22" x14ac:dyDescent="0.35">
      <c r="A5" s="33" t="s">
        <v>26</v>
      </c>
      <c r="B5" s="27">
        <f>'Parametre - Agendové IS'!D117</f>
        <v>0</v>
      </c>
      <c r="C5" s="27">
        <f>'Parametre - Agendové IS'!E117</f>
        <v>0</v>
      </c>
      <c r="D5" s="29">
        <f t="shared" ref="D5:D13" si="3">IF(ISERR(C5-B5),"-",C5-B5)</f>
        <v>0</v>
      </c>
      <c r="E5" s="387"/>
      <c r="F5" s="388"/>
      <c r="G5" s="29">
        <f t="shared" si="0"/>
        <v>0</v>
      </c>
      <c r="H5" s="30">
        <v>0</v>
      </c>
      <c r="I5" s="26">
        <f>'Parametre - Agendové IS'!E97</f>
        <v>0</v>
      </c>
      <c r="J5" s="160">
        <f>IF(ISERR(I5-H5),"-",I5-H5)</f>
        <v>0</v>
      </c>
      <c r="K5" s="27">
        <f>'Parametre - Agendové IS'!D127</f>
        <v>0</v>
      </c>
      <c r="L5" s="27">
        <f>'Parametre - Agendové IS'!E127</f>
        <v>204342.32946000004</v>
      </c>
      <c r="M5" s="29">
        <f t="shared" ref="M5:M13" si="4">IF(ISERR(L5-K5),"-",L5-K5)</f>
        <v>204342.32946000004</v>
      </c>
      <c r="N5" s="26">
        <f>-'Parametre - Agendové IS'!D77</f>
        <v>-51191.091984674327</v>
      </c>
      <c r="O5" s="26">
        <f>-'Parametre - Agendové IS'!E77</f>
        <v>-1657.3965977011494</v>
      </c>
      <c r="P5" s="29">
        <f t="shared" si="1"/>
        <v>49533.695386973181</v>
      </c>
      <c r="Q5" s="27">
        <f t="shared" ref="Q5:Q13" si="5">SUM(B5,E5)</f>
        <v>0</v>
      </c>
      <c r="R5" s="26">
        <f t="shared" si="2"/>
        <v>0</v>
      </c>
      <c r="S5" s="29">
        <f t="shared" ref="S5:S12" si="6">R5-Q5</f>
        <v>0</v>
      </c>
      <c r="T5" s="27">
        <f t="shared" ref="T5:U13" si="7">SUM(H5,K5,N5)</f>
        <v>-51191.091984674327</v>
      </c>
      <c r="U5" s="26">
        <f t="shared" si="7"/>
        <v>202684.93286229888</v>
      </c>
      <c r="V5" s="29">
        <f t="shared" ref="V5:V13" si="8">U5-T5</f>
        <v>253876.02484697322</v>
      </c>
    </row>
    <row r="6" spans="1:22" x14ac:dyDescent="0.35">
      <c r="A6" s="33" t="s">
        <v>27</v>
      </c>
      <c r="B6" s="27">
        <f>'Parametre - Agendové IS'!D118</f>
        <v>0</v>
      </c>
      <c r="C6" s="27">
        <f>'Parametre - Agendové IS'!E118</f>
        <v>0</v>
      </c>
      <c r="D6" s="29">
        <f t="shared" si="3"/>
        <v>0</v>
      </c>
      <c r="E6" s="387"/>
      <c r="F6" s="388"/>
      <c r="G6" s="29">
        <f t="shared" si="0"/>
        <v>0</v>
      </c>
      <c r="H6" s="30">
        <v>0</v>
      </c>
      <c r="I6" s="26">
        <f>'Parametre - Agendové IS'!E98</f>
        <v>0</v>
      </c>
      <c r="J6" s="29">
        <f t="shared" ref="J6:J13" si="9">IF(ISERR(I6-H6),"-",I6-H6)</f>
        <v>0</v>
      </c>
      <c r="K6" s="27">
        <f>'Parametre - Agendové IS'!D128</f>
        <v>0</v>
      </c>
      <c r="L6" s="27">
        <f>'Parametre - Agendové IS'!E128</f>
        <v>306513.49419</v>
      </c>
      <c r="M6" s="29">
        <f t="shared" si="4"/>
        <v>306513.49419</v>
      </c>
      <c r="N6" s="26">
        <f>-'Parametre - Agendové IS'!D78</f>
        <v>-51191.091984674327</v>
      </c>
      <c r="O6" s="26">
        <f>-'Parametre - Agendové IS'!E78</f>
        <v>-1657.3965977011494</v>
      </c>
      <c r="P6" s="29">
        <f t="shared" si="1"/>
        <v>49533.695386973181</v>
      </c>
      <c r="Q6" s="27">
        <f t="shared" si="5"/>
        <v>0</v>
      </c>
      <c r="R6" s="26">
        <f t="shared" si="2"/>
        <v>0</v>
      </c>
      <c r="S6" s="29">
        <f t="shared" si="6"/>
        <v>0</v>
      </c>
      <c r="T6" s="27">
        <f t="shared" si="7"/>
        <v>-51191.091984674327</v>
      </c>
      <c r="U6" s="26">
        <f t="shared" si="7"/>
        <v>304856.09759229887</v>
      </c>
      <c r="V6" s="29">
        <f t="shared" si="8"/>
        <v>356047.18957697321</v>
      </c>
    </row>
    <row r="7" spans="1:22" x14ac:dyDescent="0.35">
      <c r="A7" s="33" t="s">
        <v>28</v>
      </c>
      <c r="B7" s="27">
        <f>'Parametre - Agendové IS'!D119</f>
        <v>0</v>
      </c>
      <c r="C7" s="27">
        <f>'Parametre - Agendové IS'!E119</f>
        <v>0</v>
      </c>
      <c r="D7" s="29">
        <f t="shared" si="3"/>
        <v>0</v>
      </c>
      <c r="E7" s="387"/>
      <c r="F7" s="388"/>
      <c r="G7" s="29">
        <f t="shared" si="0"/>
        <v>0</v>
      </c>
      <c r="H7" s="30">
        <v>0</v>
      </c>
      <c r="I7" s="26">
        <f>'Parametre - Agendové IS'!E99</f>
        <v>0</v>
      </c>
      <c r="J7" s="29">
        <f t="shared" si="9"/>
        <v>0</v>
      </c>
      <c r="K7" s="27">
        <f>'Parametre - Agendové IS'!D129</f>
        <v>0</v>
      </c>
      <c r="L7" s="27">
        <f>'Parametre - Agendové IS'!E129</f>
        <v>817369.31784000015</v>
      </c>
      <c r="M7" s="29">
        <f t="shared" si="4"/>
        <v>817369.31784000015</v>
      </c>
      <c r="N7" s="26">
        <f>-'Parametre - Agendové IS'!D79</f>
        <v>-51191.091984674327</v>
      </c>
      <c r="O7" s="26">
        <f>-'Parametre - Agendové IS'!E79</f>
        <v>-1657.3965977011494</v>
      </c>
      <c r="P7" s="29">
        <f t="shared" si="1"/>
        <v>49533.695386973181</v>
      </c>
      <c r="Q7" s="27">
        <f t="shared" si="5"/>
        <v>0</v>
      </c>
      <c r="R7" s="26">
        <f t="shared" si="2"/>
        <v>0</v>
      </c>
      <c r="S7" s="29">
        <f t="shared" si="6"/>
        <v>0</v>
      </c>
      <c r="T7" s="27">
        <f t="shared" si="7"/>
        <v>-51191.091984674327</v>
      </c>
      <c r="U7" s="26">
        <f t="shared" si="7"/>
        <v>815711.92124229902</v>
      </c>
      <c r="V7" s="29">
        <f t="shared" si="8"/>
        <v>866903.01322697336</v>
      </c>
    </row>
    <row r="8" spans="1:22" x14ac:dyDescent="0.35">
      <c r="A8" s="33" t="s">
        <v>29</v>
      </c>
      <c r="B8" s="27">
        <f>'Parametre - Agendové IS'!D120</f>
        <v>0</v>
      </c>
      <c r="C8" s="27">
        <f>'Parametre - Agendové IS'!E120</f>
        <v>0</v>
      </c>
      <c r="D8" s="29">
        <f t="shared" si="3"/>
        <v>0</v>
      </c>
      <c r="E8" s="387"/>
      <c r="F8" s="388"/>
      <c r="G8" s="29">
        <f t="shared" si="0"/>
        <v>0</v>
      </c>
      <c r="H8" s="30">
        <v>0</v>
      </c>
      <c r="I8" s="26">
        <f>'Parametre - Agendové IS'!E100</f>
        <v>0</v>
      </c>
      <c r="J8" s="29">
        <f t="shared" si="9"/>
        <v>0</v>
      </c>
      <c r="K8" s="27">
        <f>'Parametre - Agendové IS'!D130</f>
        <v>0</v>
      </c>
      <c r="L8" s="27">
        <f>'Parametre - Agendové IS'!E130</f>
        <v>2043423.2946000004</v>
      </c>
      <c r="M8" s="29">
        <f t="shared" si="4"/>
        <v>2043423.2946000004</v>
      </c>
      <c r="N8" s="26">
        <f>-'Parametre - Agendové IS'!D80</f>
        <v>-51191.091984674327</v>
      </c>
      <c r="O8" s="26">
        <f>-'Parametre - Agendové IS'!E80</f>
        <v>-1657.3965977011494</v>
      </c>
      <c r="P8" s="29">
        <f t="shared" si="1"/>
        <v>49533.695386973181</v>
      </c>
      <c r="Q8" s="27">
        <f t="shared" si="5"/>
        <v>0</v>
      </c>
      <c r="R8" s="26">
        <f t="shared" si="2"/>
        <v>0</v>
      </c>
      <c r="S8" s="29">
        <f t="shared" si="6"/>
        <v>0</v>
      </c>
      <c r="T8" s="27">
        <f t="shared" si="7"/>
        <v>-51191.091984674327</v>
      </c>
      <c r="U8" s="26">
        <f t="shared" si="7"/>
        <v>2041765.8980022992</v>
      </c>
      <c r="V8" s="29">
        <f t="shared" si="8"/>
        <v>2092956.9899869736</v>
      </c>
    </row>
    <row r="9" spans="1:22" x14ac:dyDescent="0.35">
      <c r="A9" s="33" t="s">
        <v>30</v>
      </c>
      <c r="B9" s="27">
        <f>'Parametre - Agendové IS'!D121</f>
        <v>0</v>
      </c>
      <c r="C9" s="27">
        <f>'Parametre - Agendové IS'!E121</f>
        <v>0</v>
      </c>
      <c r="D9" s="29">
        <f t="shared" si="3"/>
        <v>0</v>
      </c>
      <c r="E9" s="387"/>
      <c r="F9" s="388"/>
      <c r="G9" s="29">
        <f t="shared" si="0"/>
        <v>0</v>
      </c>
      <c r="H9" s="30">
        <v>0</v>
      </c>
      <c r="I9" s="26">
        <f>'Parametre - Agendové IS'!E101</f>
        <v>0</v>
      </c>
      <c r="J9" s="29">
        <f t="shared" si="9"/>
        <v>0</v>
      </c>
      <c r="K9" s="27">
        <f>'Parametre - Agendové IS'!D131</f>
        <v>0</v>
      </c>
      <c r="L9" s="27">
        <f>'Parametre - Agendové IS'!E131</f>
        <v>2452107.95352</v>
      </c>
      <c r="M9" s="29">
        <f t="shared" si="4"/>
        <v>2452107.95352</v>
      </c>
      <c r="N9" s="26">
        <f>-'Parametre - Agendové IS'!D81</f>
        <v>-51191.091984674327</v>
      </c>
      <c r="O9" s="26">
        <f>-'Parametre - Agendové IS'!E81</f>
        <v>-1657.3965977011494</v>
      </c>
      <c r="P9" s="29">
        <f t="shared" si="1"/>
        <v>49533.695386973181</v>
      </c>
      <c r="Q9" s="27">
        <f t="shared" si="5"/>
        <v>0</v>
      </c>
      <c r="R9" s="26">
        <f t="shared" si="2"/>
        <v>0</v>
      </c>
      <c r="S9" s="29">
        <f t="shared" si="6"/>
        <v>0</v>
      </c>
      <c r="T9" s="27">
        <f t="shared" si="7"/>
        <v>-51191.091984674327</v>
      </c>
      <c r="U9" s="26">
        <f t="shared" si="7"/>
        <v>2450450.5569222989</v>
      </c>
      <c r="V9" s="29">
        <f t="shared" si="8"/>
        <v>2501641.6489069732</v>
      </c>
    </row>
    <row r="10" spans="1:22" x14ac:dyDescent="0.35">
      <c r="A10" s="33" t="s">
        <v>31</v>
      </c>
      <c r="B10" s="27">
        <f>'Parametre - Agendové IS'!D122</f>
        <v>0</v>
      </c>
      <c r="C10" s="27">
        <f>'Parametre - Agendové IS'!E122</f>
        <v>0</v>
      </c>
      <c r="D10" s="29">
        <f t="shared" si="3"/>
        <v>0</v>
      </c>
      <c r="E10" s="387"/>
      <c r="F10" s="388"/>
      <c r="G10" s="29">
        <f t="shared" si="0"/>
        <v>0</v>
      </c>
      <c r="H10" s="30">
        <v>0</v>
      </c>
      <c r="I10" s="26">
        <f>'Parametre - Agendové IS'!E102</f>
        <v>0</v>
      </c>
      <c r="J10" s="29">
        <f t="shared" si="9"/>
        <v>0</v>
      </c>
      <c r="K10" s="27">
        <f>'Parametre - Agendové IS'!D132</f>
        <v>0</v>
      </c>
      <c r="L10" s="27">
        <f>'Parametre - Agendové IS'!E132</f>
        <v>3065134.9419000004</v>
      </c>
      <c r="M10" s="29">
        <f t="shared" si="4"/>
        <v>3065134.9419000004</v>
      </c>
      <c r="N10" s="26">
        <f>-'Parametre - Agendové IS'!D82</f>
        <v>-51191.091984674327</v>
      </c>
      <c r="O10" s="26">
        <f>-'Parametre - Agendové IS'!E82</f>
        <v>-1657.3965977011494</v>
      </c>
      <c r="P10" s="29">
        <f t="shared" si="1"/>
        <v>49533.695386973181</v>
      </c>
      <c r="Q10" s="27">
        <f t="shared" si="5"/>
        <v>0</v>
      </c>
      <c r="R10" s="26">
        <f t="shared" si="2"/>
        <v>0</v>
      </c>
      <c r="S10" s="29">
        <f t="shared" si="6"/>
        <v>0</v>
      </c>
      <c r="T10" s="27">
        <f t="shared" si="7"/>
        <v>-51191.091984674327</v>
      </c>
      <c r="U10" s="26">
        <f t="shared" si="7"/>
        <v>3063477.5453022993</v>
      </c>
      <c r="V10" s="29">
        <f t="shared" si="8"/>
        <v>3114668.6372869737</v>
      </c>
    </row>
    <row r="11" spans="1:22" x14ac:dyDescent="0.35">
      <c r="A11" s="33" t="s">
        <v>32</v>
      </c>
      <c r="B11" s="27">
        <f>'Parametre - Agendové IS'!D123</f>
        <v>0</v>
      </c>
      <c r="C11" s="27">
        <f>'Parametre - Agendové IS'!E123</f>
        <v>0</v>
      </c>
      <c r="D11" s="29">
        <f t="shared" si="3"/>
        <v>0</v>
      </c>
      <c r="E11" s="387"/>
      <c r="F11" s="388"/>
      <c r="G11" s="29">
        <f t="shared" si="0"/>
        <v>0</v>
      </c>
      <c r="H11" s="30">
        <v>0</v>
      </c>
      <c r="I11" s="26">
        <f>'Parametre - Agendové IS'!E103</f>
        <v>0</v>
      </c>
      <c r="J11" s="29">
        <f t="shared" si="9"/>
        <v>0</v>
      </c>
      <c r="K11" s="27">
        <f>'Parametre - Agendové IS'!D133</f>
        <v>0</v>
      </c>
      <c r="L11" s="27">
        <f>'Parametre - Agendové IS'!E133</f>
        <v>3167306.1066300003</v>
      </c>
      <c r="M11" s="29">
        <f t="shared" si="4"/>
        <v>3167306.1066300003</v>
      </c>
      <c r="N11" s="26">
        <f>-'Parametre - Agendové IS'!D83</f>
        <v>-51191.091984674327</v>
      </c>
      <c r="O11" s="26">
        <f>-'Parametre - Agendové IS'!E83</f>
        <v>-1657.3965977011494</v>
      </c>
      <c r="P11" s="29">
        <f t="shared" si="1"/>
        <v>49533.695386973181</v>
      </c>
      <c r="Q11" s="27">
        <f t="shared" si="5"/>
        <v>0</v>
      </c>
      <c r="R11" s="26">
        <f t="shared" si="2"/>
        <v>0</v>
      </c>
      <c r="S11" s="29">
        <f t="shared" si="6"/>
        <v>0</v>
      </c>
      <c r="T11" s="27">
        <f t="shared" si="7"/>
        <v>-51191.091984674327</v>
      </c>
      <c r="U11" s="26">
        <f t="shared" si="7"/>
        <v>3165648.7100322992</v>
      </c>
      <c r="V11" s="29">
        <f t="shared" si="8"/>
        <v>3216839.8020169735</v>
      </c>
    </row>
    <row r="12" spans="1:22" x14ac:dyDescent="0.35">
      <c r="A12" s="33" t="s">
        <v>33</v>
      </c>
      <c r="B12" s="27">
        <f>'Parametre - Agendové IS'!D124</f>
        <v>0</v>
      </c>
      <c r="C12" s="27">
        <f>'Parametre - Agendové IS'!E124</f>
        <v>0</v>
      </c>
      <c r="D12" s="29">
        <f t="shared" si="3"/>
        <v>0</v>
      </c>
      <c r="E12" s="387"/>
      <c r="F12" s="388"/>
      <c r="G12" s="29">
        <f t="shared" si="0"/>
        <v>0</v>
      </c>
      <c r="H12" s="30">
        <v>0</v>
      </c>
      <c r="I12" s="26">
        <f>'Parametre - Agendové IS'!E104</f>
        <v>0</v>
      </c>
      <c r="J12" s="29">
        <f t="shared" si="9"/>
        <v>0</v>
      </c>
      <c r="K12" s="27">
        <f>'Parametre - Agendové IS'!D134</f>
        <v>0</v>
      </c>
      <c r="L12" s="27">
        <f>'Parametre - Agendové IS'!E134</f>
        <v>4086846.5892000007</v>
      </c>
      <c r="M12" s="29">
        <f t="shared" si="4"/>
        <v>4086846.5892000007</v>
      </c>
      <c r="N12" s="26">
        <f>-'Parametre - Agendové IS'!D84</f>
        <v>-51191.091984674327</v>
      </c>
      <c r="O12" s="26">
        <f>-'Parametre - Agendové IS'!E84</f>
        <v>-1657.3965977011494</v>
      </c>
      <c r="P12" s="29">
        <f t="shared" si="1"/>
        <v>49533.695386973181</v>
      </c>
      <c r="Q12" s="27">
        <f t="shared" si="5"/>
        <v>0</v>
      </c>
      <c r="R12" s="26">
        <f t="shared" si="2"/>
        <v>0</v>
      </c>
      <c r="S12" s="29">
        <f t="shared" si="6"/>
        <v>0</v>
      </c>
      <c r="T12" s="27">
        <f t="shared" si="7"/>
        <v>-51191.091984674327</v>
      </c>
      <c r="U12" s="26">
        <f t="shared" si="7"/>
        <v>4085189.1926022996</v>
      </c>
      <c r="V12" s="29">
        <f t="shared" si="8"/>
        <v>4136380.284586974</v>
      </c>
    </row>
    <row r="13" spans="1:22" ht="15.65" customHeight="1" thickBot="1" x14ac:dyDescent="0.4">
      <c r="A13" s="33" t="s">
        <v>34</v>
      </c>
      <c r="B13" s="48">
        <f>'Parametre - Agendové IS'!D125</f>
        <v>0</v>
      </c>
      <c r="C13" s="48">
        <f>'Parametre - Agendové IS'!E125</f>
        <v>0</v>
      </c>
      <c r="D13" s="181">
        <f t="shared" si="3"/>
        <v>0</v>
      </c>
      <c r="E13" s="389"/>
      <c r="F13" s="390"/>
      <c r="G13" s="181">
        <f t="shared" si="0"/>
        <v>0</v>
      </c>
      <c r="H13" s="30">
        <v>0</v>
      </c>
      <c r="I13" s="44">
        <f>'Parametre - Agendové IS'!E105</f>
        <v>0</v>
      </c>
      <c r="J13" s="181">
        <f t="shared" si="9"/>
        <v>0</v>
      </c>
      <c r="K13" s="48">
        <f>'Parametre - Agendové IS'!D135</f>
        <v>0</v>
      </c>
      <c r="L13" s="48">
        <f>'Parametre - Agendové IS'!E135</f>
        <v>4291188.91866</v>
      </c>
      <c r="M13" s="181">
        <f t="shared" si="4"/>
        <v>4291188.91866</v>
      </c>
      <c r="N13" s="44">
        <f>-'Parametre - Agendové IS'!D85</f>
        <v>-51191.091984674327</v>
      </c>
      <c r="O13" s="44">
        <f>-'Parametre - Agendové IS'!E85</f>
        <v>-1657.3965977011494</v>
      </c>
      <c r="P13" s="44">
        <f t="shared" si="1"/>
        <v>49533.695386973181</v>
      </c>
      <c r="Q13" s="184">
        <f t="shared" si="5"/>
        <v>0</v>
      </c>
      <c r="R13" s="44">
        <f t="shared" si="2"/>
        <v>0</v>
      </c>
      <c r="S13" s="181">
        <f>R13-Q13</f>
        <v>0</v>
      </c>
      <c r="T13" s="48">
        <f t="shared" si="7"/>
        <v>-51191.091984674327</v>
      </c>
      <c r="U13" s="44">
        <f t="shared" si="7"/>
        <v>4289531.5220622988</v>
      </c>
      <c r="V13" s="181">
        <f t="shared" si="8"/>
        <v>4340722.6140469732</v>
      </c>
    </row>
    <row r="14" spans="1:22" x14ac:dyDescent="0.35">
      <c r="A14" s="185" t="s">
        <v>107</v>
      </c>
      <c r="B14" s="600">
        <f>SUM(B4:B13)</f>
        <v>0</v>
      </c>
      <c r="C14" s="600">
        <f t="shared" ref="C14:P14" si="10">SUM(C4:C13)</f>
        <v>0</v>
      </c>
      <c r="D14" s="601">
        <f t="shared" si="10"/>
        <v>0</v>
      </c>
      <c r="E14" s="600">
        <f t="shared" si="10"/>
        <v>0</v>
      </c>
      <c r="F14" s="602">
        <f t="shared" si="10"/>
        <v>0</v>
      </c>
      <c r="G14" s="601">
        <f t="shared" si="10"/>
        <v>0</v>
      </c>
      <c r="H14" s="600">
        <f t="shared" si="10"/>
        <v>0</v>
      </c>
      <c r="I14" s="602">
        <f t="shared" si="10"/>
        <v>0</v>
      </c>
      <c r="J14" s="601">
        <f t="shared" si="10"/>
        <v>0</v>
      </c>
      <c r="K14" s="600">
        <f t="shared" si="10"/>
        <v>0</v>
      </c>
      <c r="L14" s="600">
        <f t="shared" si="10"/>
        <v>20434232.946000002</v>
      </c>
      <c r="M14" s="601">
        <f t="shared" si="10"/>
        <v>20434232.946000002</v>
      </c>
      <c r="N14" s="602">
        <f t="shared" si="10"/>
        <v>-499865.95702681993</v>
      </c>
      <c r="O14" s="602">
        <f t="shared" si="10"/>
        <v>-54062.698544061277</v>
      </c>
      <c r="P14" s="603">
        <f t="shared" si="10"/>
        <v>445803.25848275865</v>
      </c>
      <c r="Q14" s="604">
        <f t="shared" ref="Q14:V14" si="11">SUM(Q4:Q13)</f>
        <v>0</v>
      </c>
      <c r="R14" s="602">
        <f t="shared" si="11"/>
        <v>0</v>
      </c>
      <c r="S14" s="605">
        <f t="shared" si="11"/>
        <v>0</v>
      </c>
      <c r="T14" s="604">
        <f t="shared" si="11"/>
        <v>-499865.95702681993</v>
      </c>
      <c r="U14" s="602">
        <f t="shared" si="11"/>
        <v>20380170.24745594</v>
      </c>
      <c r="V14" s="606">
        <f t="shared" si="11"/>
        <v>20880036.20448276</v>
      </c>
    </row>
    <row r="15" spans="1:22" ht="15" thickBot="1" x14ac:dyDescent="0.4">
      <c r="A15" s="186" t="s">
        <v>159</v>
      </c>
      <c r="B15" s="607"/>
      <c r="C15" s="607"/>
      <c r="D15" s="608">
        <f>D4+NPV(Faktory!$D$5,'Prínosy - Agendové IS'!D5:D13)</f>
        <v>0</v>
      </c>
      <c r="E15" s="609"/>
      <c r="F15" s="610"/>
      <c r="G15" s="608">
        <f>G4+NPV(Faktory!$D$3,'Prínosy - Agendové IS'!G5:G13)</f>
        <v>0</v>
      </c>
      <c r="H15" s="609"/>
      <c r="I15" s="610"/>
      <c r="J15" s="608">
        <f>J4+NPV(Faktory!$D$5,'Prínosy - Agendové IS'!J5:J13)</f>
        <v>0</v>
      </c>
      <c r="K15" s="607"/>
      <c r="L15" s="607"/>
      <c r="M15" s="608">
        <f>M4+NPV(Faktory!$D$5,'Prínosy - Agendové IS'!M5:M13)</f>
        <v>14851596.491347974</v>
      </c>
      <c r="N15" s="610"/>
      <c r="O15" s="610"/>
      <c r="P15" s="611">
        <f>P4+NPV(Faktory!$D$5,'Prínosy - Agendové IS'!P5:P13)</f>
        <v>352076.67374627775</v>
      </c>
      <c r="Q15" s="612"/>
      <c r="R15" s="610"/>
      <c r="S15" s="608">
        <f>S4+NPV(Faktory!$D$5,'Prínosy - Agendové IS'!S5:S13)</f>
        <v>0</v>
      </c>
      <c r="T15" s="612"/>
      <c r="U15" s="610"/>
      <c r="V15" s="608">
        <f>V4+NPV(Faktory!$D$5,'Prínosy - Agendové IS'!V5:V13)</f>
        <v>15203673.165094253</v>
      </c>
    </row>
    <row r="17" spans="2:2" x14ac:dyDescent="0.35">
      <c r="B17" s="108" t="s">
        <v>173</v>
      </c>
    </row>
    <row r="38" spans="15:15" x14ac:dyDescent="0.35">
      <c r="O38" s="183"/>
    </row>
  </sheetData>
  <protectedRanges>
    <protectedRange algorithmName="SHA-512" hashValue="f4ycvS5NMakRYlpexdvZE7kc5B00PVZgCpNS64jzUJaJceYSE+aleudxwPGxr22CZo/5IZ2uTHVQQMolnN60/A==" saltValue="c0KVc6r/LTYq/uhy9236YA==" spinCount="100000" sqref="E2:G15" name="Rozsah1"/>
  </protectedRanges>
  <mergeCells count="10">
    <mergeCell ref="B1:D1"/>
    <mergeCell ref="Q1:V1"/>
    <mergeCell ref="B2:D2"/>
    <mergeCell ref="E2:G2"/>
    <mergeCell ref="H2:J2"/>
    <mergeCell ref="K2:M2"/>
    <mergeCell ref="Q2:S2"/>
    <mergeCell ref="T2:V2"/>
    <mergeCell ref="N2:P2"/>
    <mergeCell ref="E1:P1"/>
  </mergeCells>
  <pageMargins left="0.7" right="0.7" top="0.75" bottom="0.75" header="0.3" footer="0.3"/>
  <pageSetup paperSize="9" scale="2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22"/>
  <sheetViews>
    <sheetView view="pageBreakPreview" topLeftCell="J1" zoomScale="110" zoomScaleNormal="80" zoomScaleSheetLayoutView="110" workbookViewId="0">
      <selection activeCell="W11" sqref="W11"/>
    </sheetView>
  </sheetViews>
  <sheetFormatPr defaultColWidth="8.81640625" defaultRowHeight="14.5" x14ac:dyDescent="0.35"/>
  <cols>
    <col min="2" max="2" width="14.26953125" customWidth="1"/>
    <col min="3" max="3" width="15.81640625" bestFit="1" customWidth="1"/>
    <col min="4" max="4" width="16.7265625" bestFit="1" customWidth="1"/>
    <col min="5" max="6" width="13.453125" bestFit="1" customWidth="1"/>
    <col min="7" max="7" width="16.7265625" bestFit="1" customWidth="1"/>
    <col min="8" max="8" width="14.453125" bestFit="1" customWidth="1"/>
    <col min="9" max="9" width="13.453125" bestFit="1" customWidth="1"/>
    <col min="10" max="10" width="16.7265625" bestFit="1" customWidth="1"/>
    <col min="11" max="16" width="16.7265625" customWidth="1"/>
    <col min="17" max="17" width="13.453125" bestFit="1" customWidth="1"/>
    <col min="18" max="18" width="15.81640625" bestFit="1" customWidth="1"/>
    <col min="19" max="19" width="15.26953125" customWidth="1"/>
    <col min="20" max="21" width="17" bestFit="1" customWidth="1"/>
    <col min="22" max="22" width="14.26953125" bestFit="1" customWidth="1"/>
  </cols>
  <sheetData>
    <row r="1" spans="1:23" ht="15.75" customHeight="1" thickBot="1" x14ac:dyDescent="0.4">
      <c r="A1" s="38"/>
      <c r="B1" s="755" t="s">
        <v>186</v>
      </c>
      <c r="C1" s="756"/>
      <c r="D1" s="756"/>
      <c r="E1" s="756"/>
      <c r="F1" s="756"/>
      <c r="G1" s="756"/>
      <c r="H1" s="756"/>
      <c r="I1" s="756"/>
      <c r="J1" s="756"/>
      <c r="K1" s="756"/>
      <c r="L1" s="756"/>
      <c r="M1" s="757"/>
      <c r="N1" s="755" t="s">
        <v>319</v>
      </c>
      <c r="O1" s="756"/>
      <c r="P1" s="757"/>
      <c r="Q1" s="754" t="s">
        <v>71</v>
      </c>
      <c r="R1" s="754"/>
      <c r="S1" s="754"/>
      <c r="T1" s="731" t="s">
        <v>72</v>
      </c>
      <c r="U1" s="732"/>
      <c r="V1" s="733"/>
    </row>
    <row r="2" spans="1:23" ht="15.75" customHeight="1" thickBot="1" x14ac:dyDescent="0.4">
      <c r="A2" s="8"/>
      <c r="B2" s="732" t="s">
        <v>68</v>
      </c>
      <c r="C2" s="732"/>
      <c r="D2" s="733"/>
      <c r="E2" s="732" t="s">
        <v>69</v>
      </c>
      <c r="F2" s="732"/>
      <c r="G2" s="733"/>
      <c r="H2" s="732" t="s">
        <v>109</v>
      </c>
      <c r="I2" s="732"/>
      <c r="J2" s="733"/>
      <c r="K2" s="732" t="s">
        <v>352</v>
      </c>
      <c r="L2" s="732"/>
      <c r="M2" s="733"/>
      <c r="N2" s="732"/>
      <c r="O2" s="732"/>
      <c r="P2" s="733"/>
      <c r="Q2" s="732" t="s">
        <v>70</v>
      </c>
      <c r="R2" s="732"/>
      <c r="S2" s="733"/>
      <c r="T2" s="8"/>
      <c r="U2" s="8"/>
      <c r="V2" s="39"/>
    </row>
    <row r="3" spans="1:23" ht="19.399999999999999" customHeight="1" thickBot="1" x14ac:dyDescent="0.4">
      <c r="A3" s="41" t="s">
        <v>23</v>
      </c>
      <c r="B3" s="42" t="s">
        <v>226</v>
      </c>
      <c r="C3" s="42" t="s">
        <v>170</v>
      </c>
      <c r="D3" s="43" t="s">
        <v>24</v>
      </c>
      <c r="E3" s="42" t="s">
        <v>226</v>
      </c>
      <c r="F3" s="42" t="s">
        <v>170</v>
      </c>
      <c r="G3" s="43" t="s">
        <v>24</v>
      </c>
      <c r="H3" s="42" t="s">
        <v>226</v>
      </c>
      <c r="I3" s="42" t="s">
        <v>170</v>
      </c>
      <c r="J3" s="43" t="s">
        <v>24</v>
      </c>
      <c r="K3" s="42" t="s">
        <v>226</v>
      </c>
      <c r="L3" s="42" t="s">
        <v>170</v>
      </c>
      <c r="M3" s="43" t="s">
        <v>24</v>
      </c>
      <c r="N3" s="42" t="s">
        <v>226</v>
      </c>
      <c r="O3" s="42" t="s">
        <v>170</v>
      </c>
      <c r="P3" s="43" t="s">
        <v>24</v>
      </c>
      <c r="Q3" s="42" t="s">
        <v>226</v>
      </c>
      <c r="R3" s="42" t="s">
        <v>170</v>
      </c>
      <c r="S3" s="43" t="s">
        <v>24</v>
      </c>
      <c r="T3" s="42" t="s">
        <v>226</v>
      </c>
      <c r="U3" s="42" t="s">
        <v>170</v>
      </c>
      <c r="V3" s="43" t="s">
        <v>24</v>
      </c>
    </row>
    <row r="4" spans="1:23" x14ac:dyDescent="0.35">
      <c r="A4" s="25" t="s">
        <v>25</v>
      </c>
      <c r="B4" s="26">
        <f>TCO!D26+TCO!D27</f>
        <v>0</v>
      </c>
      <c r="C4" s="26">
        <f>(TCO!D$12*(1+$W$5))+TCO!D$13</f>
        <v>700000</v>
      </c>
      <c r="D4" s="34">
        <f>C4-B4</f>
        <v>700000</v>
      </c>
      <c r="E4" s="27">
        <f>TCO!D22+TCO!D23</f>
        <v>0</v>
      </c>
      <c r="F4" s="26">
        <f>(TCO!D$7*(1+$W$5))+TCO!D$8</f>
        <v>566301.39999999979</v>
      </c>
      <c r="G4" s="34">
        <f>F4-E4</f>
        <v>566301.39999999979</v>
      </c>
      <c r="H4" s="26">
        <f>TCO!D24+TCO!D25</f>
        <v>0</v>
      </c>
      <c r="I4" s="26">
        <f>(TCO!D$9*(1+$W$5))+TCO!D$10</f>
        <v>1109547.5999999999</v>
      </c>
      <c r="J4" s="34">
        <f>I4-H4</f>
        <v>1109547.5999999999</v>
      </c>
      <c r="K4" s="27">
        <v>0</v>
      </c>
      <c r="L4" s="27">
        <f>TCO!D11</f>
        <v>0</v>
      </c>
      <c r="M4" s="34">
        <f>L4-K4</f>
        <v>0</v>
      </c>
      <c r="N4" s="27">
        <v>0</v>
      </c>
      <c r="O4" s="27">
        <f>TCO!D14</f>
        <v>164492.04999999999</v>
      </c>
      <c r="P4" s="34">
        <f>O4-N4</f>
        <v>164492.04999999999</v>
      </c>
      <c r="Q4" s="27">
        <f>'Parametre - Agendové IS'!D106</f>
        <v>0</v>
      </c>
      <c r="R4" s="27">
        <f>'Parametre - Agendové IS'!E106</f>
        <v>0</v>
      </c>
      <c r="S4" s="34">
        <f t="shared" ref="S4:S13" si="0">IF(ISERR(R4-Q4),"-",R4-Q4)</f>
        <v>0</v>
      </c>
      <c r="T4" s="26">
        <f>SUM(B4,E4,H4,K4,N4,Q4)</f>
        <v>0</v>
      </c>
      <c r="U4" s="26">
        <f>((C4+F4+L4+O4+I4)*(1+$W$4))+R4</f>
        <v>2540341.0499999998</v>
      </c>
      <c r="V4" s="34">
        <f>U4-T4</f>
        <v>2540341.0499999998</v>
      </c>
      <c r="W4" s="225">
        <f>'Analyza citlivosti - AgendovéIS'!B7</f>
        <v>0</v>
      </c>
    </row>
    <row r="5" spans="1:23" x14ac:dyDescent="0.35">
      <c r="A5" s="25" t="s">
        <v>26</v>
      </c>
      <c r="B5" s="26">
        <f>TCO!E26+TCO!E27</f>
        <v>0</v>
      </c>
      <c r="C5" s="26">
        <f>(TCO!E$12*(1+$W$5))+TCO!E$13</f>
        <v>77096.953125</v>
      </c>
      <c r="D5" s="29">
        <f t="shared" ref="D5:D13" si="1">C5-B5</f>
        <v>77096.953125</v>
      </c>
      <c r="E5" s="27">
        <f>TCO!E22+TCO!E23</f>
        <v>0</v>
      </c>
      <c r="F5" s="26">
        <f>(TCO!E$7*(1+$W$5))+TCO!E$8</f>
        <v>112512.70800000001</v>
      </c>
      <c r="G5" s="29">
        <f t="shared" ref="G5:G13" si="2">F5-E5</f>
        <v>112512.70800000001</v>
      </c>
      <c r="H5" s="26">
        <f>TCO!E24+TCO!E25</f>
        <v>0</v>
      </c>
      <c r="I5" s="26">
        <f>(TCO!E$9*(1+$W$5))+TCO!E$10</f>
        <v>311471.12187499995</v>
      </c>
      <c r="J5" s="29">
        <f t="shared" ref="J5:J13" si="3">I5-H5</f>
        <v>311471.12187499995</v>
      </c>
      <c r="K5" s="27">
        <v>0</v>
      </c>
      <c r="L5" s="27">
        <f>TCO!E11</f>
        <v>0</v>
      </c>
      <c r="M5" s="29">
        <f t="shared" ref="M5:M13" si="4">L5-K5</f>
        <v>0</v>
      </c>
      <c r="N5" s="27">
        <v>0</v>
      </c>
      <c r="O5" s="27">
        <f>TCO!E14</f>
        <v>0</v>
      </c>
      <c r="P5" s="29">
        <f t="shared" ref="P5:P13" si="5">O5-N5</f>
        <v>0</v>
      </c>
      <c r="Q5" s="27">
        <f>'Parametre - Agendové IS'!D107</f>
        <v>0</v>
      </c>
      <c r="R5" s="27">
        <f>'Parametre - Agendové IS'!E107</f>
        <v>0</v>
      </c>
      <c r="S5" s="29">
        <f t="shared" si="0"/>
        <v>0</v>
      </c>
      <c r="T5" s="26">
        <f t="shared" ref="T5:T13" si="6">SUM(B5,E5,H5,K5,N5,Q5)</f>
        <v>0</v>
      </c>
      <c r="U5" s="26">
        <f t="shared" ref="U5:U13" si="7">((C5+F5+L5+O5+I5)*(1+$W$4))+R5</f>
        <v>501080.78299999994</v>
      </c>
      <c r="V5" s="29">
        <f t="shared" ref="V5:V13" si="8">U5-T5</f>
        <v>501080.78299999994</v>
      </c>
      <c r="W5" s="225">
        <f>'Analyza citlivosti - AgendovéIS'!E7</f>
        <v>0</v>
      </c>
    </row>
    <row r="6" spans="1:23" x14ac:dyDescent="0.35">
      <c r="A6" s="25" t="s">
        <v>27</v>
      </c>
      <c r="B6" s="26">
        <f>TCO!F26+TCO!F27</f>
        <v>0</v>
      </c>
      <c r="C6" s="26">
        <f>(TCO!F$12*(1+$W$5))+TCO!F$13</f>
        <v>77096.953125</v>
      </c>
      <c r="D6" s="29">
        <f t="shared" si="1"/>
        <v>77096.953125</v>
      </c>
      <c r="E6" s="27">
        <f>TCO!F22+TCO!F23</f>
        <v>0</v>
      </c>
      <c r="F6" s="26">
        <f>(TCO!F$7*(1+$W$5))+TCO!F$8</f>
        <v>112512.70800000001</v>
      </c>
      <c r="G6" s="29">
        <f t="shared" si="2"/>
        <v>112512.70800000001</v>
      </c>
      <c r="H6" s="26">
        <f>TCO!F24+TCO!F25</f>
        <v>0</v>
      </c>
      <c r="I6" s="26">
        <f>(TCO!F$9*(1+$W$5))+TCO!F$10</f>
        <v>311471.12187499995</v>
      </c>
      <c r="J6" s="29">
        <f t="shared" si="3"/>
        <v>311471.12187499995</v>
      </c>
      <c r="K6" s="27">
        <v>0</v>
      </c>
      <c r="L6" s="27">
        <f>TCO!F11</f>
        <v>0</v>
      </c>
      <c r="M6" s="29">
        <f t="shared" si="4"/>
        <v>0</v>
      </c>
      <c r="N6" s="27">
        <v>0</v>
      </c>
      <c r="O6" s="27">
        <f>TCO!F14</f>
        <v>0</v>
      </c>
      <c r="P6" s="29">
        <f t="shared" si="5"/>
        <v>0</v>
      </c>
      <c r="Q6" s="27">
        <f>'Parametre - Agendové IS'!D108</f>
        <v>0</v>
      </c>
      <c r="R6" s="27">
        <f>'Parametre - Agendové IS'!E108</f>
        <v>0</v>
      </c>
      <c r="S6" s="29">
        <f t="shared" si="0"/>
        <v>0</v>
      </c>
      <c r="T6" s="26">
        <f t="shared" si="6"/>
        <v>0</v>
      </c>
      <c r="U6" s="26">
        <f t="shared" si="7"/>
        <v>501080.78299999994</v>
      </c>
      <c r="V6" s="29">
        <f t="shared" si="8"/>
        <v>501080.78299999994</v>
      </c>
    </row>
    <row r="7" spans="1:23" x14ac:dyDescent="0.35">
      <c r="A7" s="25" t="s">
        <v>28</v>
      </c>
      <c r="B7" s="26">
        <f>TCO!G26+TCO!G27</f>
        <v>0</v>
      </c>
      <c r="C7" s="26">
        <f>(TCO!G$12*(1+$W$5))+TCO!G$13</f>
        <v>77096.953125</v>
      </c>
      <c r="D7" s="29">
        <f t="shared" si="1"/>
        <v>77096.953125</v>
      </c>
      <c r="E7" s="27">
        <f>TCO!G22+TCO!G23</f>
        <v>0</v>
      </c>
      <c r="F7" s="26">
        <f>(TCO!G$7*(1+$W$5))+TCO!G$8</f>
        <v>112512.70800000001</v>
      </c>
      <c r="G7" s="29">
        <f t="shared" si="2"/>
        <v>112512.70800000001</v>
      </c>
      <c r="H7" s="26">
        <f>TCO!G24+TCO!G25</f>
        <v>0</v>
      </c>
      <c r="I7" s="26">
        <f>(TCO!G$9*(1+$W$5))+TCO!G$10</f>
        <v>311471.12187499995</v>
      </c>
      <c r="J7" s="29">
        <f t="shared" si="3"/>
        <v>311471.12187499995</v>
      </c>
      <c r="K7" s="27">
        <v>0</v>
      </c>
      <c r="L7" s="27">
        <f>TCO!G11</f>
        <v>0</v>
      </c>
      <c r="M7" s="29">
        <f t="shared" si="4"/>
        <v>0</v>
      </c>
      <c r="N7" s="27">
        <v>0</v>
      </c>
      <c r="O7" s="27">
        <f>TCO!G14</f>
        <v>0</v>
      </c>
      <c r="P7" s="29">
        <f t="shared" si="5"/>
        <v>0</v>
      </c>
      <c r="Q7" s="27">
        <f>'Parametre - Agendové IS'!D109</f>
        <v>0</v>
      </c>
      <c r="R7" s="27">
        <f>'Parametre - Agendové IS'!E109</f>
        <v>0</v>
      </c>
      <c r="S7" s="29">
        <f t="shared" si="0"/>
        <v>0</v>
      </c>
      <c r="T7" s="26">
        <f t="shared" si="6"/>
        <v>0</v>
      </c>
      <c r="U7" s="26">
        <f t="shared" si="7"/>
        <v>501080.78299999994</v>
      </c>
      <c r="V7" s="29">
        <f t="shared" si="8"/>
        <v>501080.78299999994</v>
      </c>
    </row>
    <row r="8" spans="1:23" x14ac:dyDescent="0.35">
      <c r="A8" s="25" t="s">
        <v>29</v>
      </c>
      <c r="B8" s="26">
        <f>TCO!H26+TCO!H27</f>
        <v>0</v>
      </c>
      <c r="C8" s="26">
        <f>(TCO!H$12*(1+$W$5))+TCO!H$13</f>
        <v>77096.953125</v>
      </c>
      <c r="D8" s="29">
        <f t="shared" si="1"/>
        <v>77096.953125</v>
      </c>
      <c r="E8" s="27">
        <f>TCO!H22+TCO!H23</f>
        <v>0</v>
      </c>
      <c r="F8" s="26">
        <f>(TCO!H$7*(1+$W$5))+TCO!H$8</f>
        <v>112512.70800000001</v>
      </c>
      <c r="G8" s="29">
        <f t="shared" si="2"/>
        <v>112512.70800000001</v>
      </c>
      <c r="H8" s="26">
        <f>TCO!H24+TCO!H25</f>
        <v>0</v>
      </c>
      <c r="I8" s="26">
        <f>(TCO!H$9*(1+$W$5))+TCO!H$10</f>
        <v>311471.12187499995</v>
      </c>
      <c r="J8" s="29">
        <f t="shared" si="3"/>
        <v>311471.12187499995</v>
      </c>
      <c r="K8" s="27">
        <v>0</v>
      </c>
      <c r="L8" s="27">
        <f>TCO!H11</f>
        <v>0</v>
      </c>
      <c r="M8" s="29">
        <f t="shared" si="4"/>
        <v>0</v>
      </c>
      <c r="N8" s="27">
        <v>0</v>
      </c>
      <c r="O8" s="27">
        <f>TCO!H14</f>
        <v>0</v>
      </c>
      <c r="P8" s="29">
        <f t="shared" si="5"/>
        <v>0</v>
      </c>
      <c r="Q8" s="27">
        <f>'Parametre - Agendové IS'!D110</f>
        <v>0</v>
      </c>
      <c r="R8" s="27">
        <f>'Parametre - Agendové IS'!E110</f>
        <v>0</v>
      </c>
      <c r="S8" s="29">
        <f t="shared" si="0"/>
        <v>0</v>
      </c>
      <c r="T8" s="26">
        <f t="shared" si="6"/>
        <v>0</v>
      </c>
      <c r="U8" s="26">
        <f t="shared" si="7"/>
        <v>501080.78299999994</v>
      </c>
      <c r="V8" s="29">
        <f t="shared" si="8"/>
        <v>501080.78299999994</v>
      </c>
    </row>
    <row r="9" spans="1:23" x14ac:dyDescent="0.35">
      <c r="A9" s="25" t="s">
        <v>30</v>
      </c>
      <c r="B9" s="26">
        <f>TCO!I26+TCO!I27</f>
        <v>0</v>
      </c>
      <c r="C9" s="26">
        <f>(TCO!I$12*(1+$W$5))+TCO!I$13</f>
        <v>77096.953125</v>
      </c>
      <c r="D9" s="29">
        <f t="shared" si="1"/>
        <v>77096.953125</v>
      </c>
      <c r="E9" s="27">
        <f>TCO!I22+TCO!I23</f>
        <v>0</v>
      </c>
      <c r="F9" s="26">
        <f>(TCO!I$7*(1+$W$5))+TCO!I$8</f>
        <v>112512.70800000001</v>
      </c>
      <c r="G9" s="29">
        <f t="shared" si="2"/>
        <v>112512.70800000001</v>
      </c>
      <c r="H9" s="26">
        <f>TCO!I24+TCO!I25</f>
        <v>0</v>
      </c>
      <c r="I9" s="26">
        <f>(TCO!I$9*(1+$W$5))+TCO!I$10</f>
        <v>311471.12187499995</v>
      </c>
      <c r="J9" s="29">
        <f t="shared" si="3"/>
        <v>311471.12187499995</v>
      </c>
      <c r="K9" s="27">
        <v>0</v>
      </c>
      <c r="L9" s="27">
        <f>TCO!I11</f>
        <v>0</v>
      </c>
      <c r="M9" s="29">
        <f t="shared" si="4"/>
        <v>0</v>
      </c>
      <c r="N9" s="27">
        <v>0</v>
      </c>
      <c r="O9" s="27">
        <f>TCO!I14</f>
        <v>0</v>
      </c>
      <c r="P9" s="29">
        <f t="shared" si="5"/>
        <v>0</v>
      </c>
      <c r="Q9" s="27">
        <f>'Parametre - Agendové IS'!D111</f>
        <v>0</v>
      </c>
      <c r="R9" s="27">
        <f>'Parametre - Agendové IS'!E111</f>
        <v>0</v>
      </c>
      <c r="S9" s="29">
        <f t="shared" si="0"/>
        <v>0</v>
      </c>
      <c r="T9" s="26">
        <f t="shared" si="6"/>
        <v>0</v>
      </c>
      <c r="U9" s="26">
        <f t="shared" si="7"/>
        <v>501080.78299999994</v>
      </c>
      <c r="V9" s="29">
        <f t="shared" si="8"/>
        <v>501080.78299999994</v>
      </c>
    </row>
    <row r="10" spans="1:23" x14ac:dyDescent="0.35">
      <c r="A10" s="25" t="s">
        <v>31</v>
      </c>
      <c r="B10" s="26">
        <f>TCO!J26+TCO!J27</f>
        <v>0</v>
      </c>
      <c r="C10" s="26">
        <f>(TCO!J$12*(1+$W$5))+TCO!J$13</f>
        <v>77096.953125</v>
      </c>
      <c r="D10" s="29">
        <f t="shared" si="1"/>
        <v>77096.953125</v>
      </c>
      <c r="E10" s="27">
        <f>TCO!J22+TCO!J23</f>
        <v>0</v>
      </c>
      <c r="F10" s="26">
        <f>(TCO!J$7*(1+$W$5))+TCO!J$8</f>
        <v>112512.70800000001</v>
      </c>
      <c r="G10" s="29">
        <f t="shared" si="2"/>
        <v>112512.70800000001</v>
      </c>
      <c r="H10" s="26">
        <f>TCO!J24+TCO!J25</f>
        <v>0</v>
      </c>
      <c r="I10" s="26">
        <f>(TCO!J$9*(1+$W$5))+TCO!J$10</f>
        <v>311471.12187499995</v>
      </c>
      <c r="J10" s="29">
        <f t="shared" si="3"/>
        <v>311471.12187499995</v>
      </c>
      <c r="K10" s="27">
        <v>0</v>
      </c>
      <c r="L10" s="27">
        <f>TCO!J11</f>
        <v>0</v>
      </c>
      <c r="M10" s="29">
        <f t="shared" si="4"/>
        <v>0</v>
      </c>
      <c r="N10" s="27">
        <v>0</v>
      </c>
      <c r="O10" s="27">
        <f>TCO!J14</f>
        <v>0</v>
      </c>
      <c r="P10" s="29">
        <f t="shared" si="5"/>
        <v>0</v>
      </c>
      <c r="Q10" s="27">
        <f>'Parametre - Agendové IS'!D112</f>
        <v>0</v>
      </c>
      <c r="R10" s="27">
        <f>'Parametre - Agendové IS'!E112</f>
        <v>0</v>
      </c>
      <c r="S10" s="29">
        <f t="shared" si="0"/>
        <v>0</v>
      </c>
      <c r="T10" s="26">
        <f t="shared" si="6"/>
        <v>0</v>
      </c>
      <c r="U10" s="26">
        <f t="shared" si="7"/>
        <v>501080.78299999994</v>
      </c>
      <c r="V10" s="29">
        <f t="shared" si="8"/>
        <v>501080.78299999994</v>
      </c>
    </row>
    <row r="11" spans="1:23" x14ac:dyDescent="0.35">
      <c r="A11" s="25" t="s">
        <v>32</v>
      </c>
      <c r="B11" s="26">
        <f>TCO!K26+TCO!K27</f>
        <v>0</v>
      </c>
      <c r="C11" s="26">
        <f>(TCO!K$12*(1+$W$5))+TCO!K$13</f>
        <v>77096.953125</v>
      </c>
      <c r="D11" s="29">
        <f t="shared" si="1"/>
        <v>77096.953125</v>
      </c>
      <c r="E11" s="27">
        <f>TCO!K22+TCO!K23</f>
        <v>0</v>
      </c>
      <c r="F11" s="26">
        <f>(TCO!K$7*(1+$W$5))+TCO!K$8</f>
        <v>112512.70800000001</v>
      </c>
      <c r="G11" s="29">
        <f t="shared" si="2"/>
        <v>112512.70800000001</v>
      </c>
      <c r="H11" s="26">
        <f>TCO!K24+TCO!K25</f>
        <v>0</v>
      </c>
      <c r="I11" s="26">
        <f>(TCO!K$9*(1+$W$5))+TCO!K$10</f>
        <v>311471.12187499995</v>
      </c>
      <c r="J11" s="29">
        <f t="shared" si="3"/>
        <v>311471.12187499995</v>
      </c>
      <c r="K11" s="27">
        <v>0</v>
      </c>
      <c r="L11" s="27">
        <f>TCO!K11</f>
        <v>0</v>
      </c>
      <c r="M11" s="29">
        <f t="shared" si="4"/>
        <v>0</v>
      </c>
      <c r="N11" s="27">
        <v>0</v>
      </c>
      <c r="O11" s="27">
        <f>TCO!K14</f>
        <v>0</v>
      </c>
      <c r="P11" s="29">
        <f t="shared" si="5"/>
        <v>0</v>
      </c>
      <c r="Q11" s="27">
        <f>'Parametre - Agendové IS'!D113</f>
        <v>0</v>
      </c>
      <c r="R11" s="27">
        <f>'Parametre - Agendové IS'!E113</f>
        <v>0</v>
      </c>
      <c r="S11" s="29">
        <f t="shared" si="0"/>
        <v>0</v>
      </c>
      <c r="T11" s="26">
        <f t="shared" si="6"/>
        <v>0</v>
      </c>
      <c r="U11" s="26">
        <f t="shared" si="7"/>
        <v>501080.78299999994</v>
      </c>
      <c r="V11" s="29">
        <f t="shared" si="8"/>
        <v>501080.78299999994</v>
      </c>
    </row>
    <row r="12" spans="1:23" x14ac:dyDescent="0.35">
      <c r="A12" s="25" t="s">
        <v>33</v>
      </c>
      <c r="B12" s="26">
        <f>TCO!L26+TCO!L27</f>
        <v>0</v>
      </c>
      <c r="C12" s="26">
        <f>(TCO!L$12*(1+$W$5))+TCO!L$13</f>
        <v>77096.953125</v>
      </c>
      <c r="D12" s="29">
        <f t="shared" si="1"/>
        <v>77096.953125</v>
      </c>
      <c r="E12" s="27">
        <f>TCO!L22+TCO!L23</f>
        <v>0</v>
      </c>
      <c r="F12" s="26">
        <f>(TCO!L$7*(1+$W$5))+TCO!L$8</f>
        <v>112512.70800000001</v>
      </c>
      <c r="G12" s="29">
        <f t="shared" si="2"/>
        <v>112512.70800000001</v>
      </c>
      <c r="H12" s="26">
        <f>TCO!L24+TCO!L25</f>
        <v>0</v>
      </c>
      <c r="I12" s="26">
        <f>(TCO!L$9*(1+$W$5))+TCO!L$10</f>
        <v>311471.12187499995</v>
      </c>
      <c r="J12" s="29">
        <f t="shared" si="3"/>
        <v>311471.12187499995</v>
      </c>
      <c r="K12" s="27">
        <v>0</v>
      </c>
      <c r="L12" s="27">
        <f>TCO!L11</f>
        <v>0</v>
      </c>
      <c r="M12" s="29">
        <f t="shared" si="4"/>
        <v>0</v>
      </c>
      <c r="N12" s="27">
        <v>0</v>
      </c>
      <c r="O12" s="27">
        <f>TCO!L14</f>
        <v>0</v>
      </c>
      <c r="P12" s="29">
        <f t="shared" si="5"/>
        <v>0</v>
      </c>
      <c r="Q12" s="27">
        <f>'Parametre - Agendové IS'!D114</f>
        <v>0</v>
      </c>
      <c r="R12" s="27">
        <f>'Parametre - Agendové IS'!E114</f>
        <v>0</v>
      </c>
      <c r="S12" s="29">
        <f t="shared" si="0"/>
        <v>0</v>
      </c>
      <c r="T12" s="26">
        <f t="shared" si="6"/>
        <v>0</v>
      </c>
      <c r="U12" s="26">
        <f t="shared" si="7"/>
        <v>501080.78299999994</v>
      </c>
      <c r="V12" s="29">
        <f t="shared" si="8"/>
        <v>501080.78299999994</v>
      </c>
    </row>
    <row r="13" spans="1:23" ht="15" thickBot="1" x14ac:dyDescent="0.4">
      <c r="A13" s="40" t="s">
        <v>34</v>
      </c>
      <c r="B13" s="44">
        <f>TCO!M26+TCO!M27</f>
        <v>0</v>
      </c>
      <c r="C13" s="44">
        <f>(TCO!M$12*(1+$W$5))+TCO!M$13</f>
        <v>77096.953125</v>
      </c>
      <c r="D13" s="181">
        <f t="shared" si="1"/>
        <v>77096.953125</v>
      </c>
      <c r="E13" s="48">
        <f>TCO!M22+TCO!M23</f>
        <v>0</v>
      </c>
      <c r="F13" s="44">
        <f>(TCO!M$7*(1+$W$5))+TCO!M$8</f>
        <v>112512.70800000001</v>
      </c>
      <c r="G13" s="181">
        <f t="shared" si="2"/>
        <v>112512.70800000001</v>
      </c>
      <c r="H13" s="44">
        <f>TCO!M24+TCO!M25</f>
        <v>0</v>
      </c>
      <c r="I13" s="44">
        <f>(TCO!M$9*(1+$W$5))+TCO!M$10</f>
        <v>311471.12187499995</v>
      </c>
      <c r="J13" s="181">
        <f t="shared" si="3"/>
        <v>311471.12187499995</v>
      </c>
      <c r="K13" s="48">
        <v>0</v>
      </c>
      <c r="L13" s="48">
        <f>TCO!M11</f>
        <v>0</v>
      </c>
      <c r="M13" s="181">
        <f t="shared" si="4"/>
        <v>0</v>
      </c>
      <c r="N13" s="48">
        <v>0</v>
      </c>
      <c r="O13" s="48">
        <f>TCO!M14</f>
        <v>0</v>
      </c>
      <c r="P13" s="181">
        <f t="shared" si="5"/>
        <v>0</v>
      </c>
      <c r="Q13" s="48">
        <f>'Parametre - Agendové IS'!D115</f>
        <v>0</v>
      </c>
      <c r="R13" s="48">
        <f>'Parametre - Agendové IS'!E115</f>
        <v>0</v>
      </c>
      <c r="S13" s="181">
        <f t="shared" si="0"/>
        <v>0</v>
      </c>
      <c r="T13" s="26">
        <f t="shared" si="6"/>
        <v>0</v>
      </c>
      <c r="U13" s="26">
        <f t="shared" si="7"/>
        <v>501080.78299999994</v>
      </c>
      <c r="V13" s="181">
        <f t="shared" si="8"/>
        <v>501080.78299999994</v>
      </c>
    </row>
    <row r="14" spans="1:23" x14ac:dyDescent="0.35">
      <c r="A14" s="613" t="s">
        <v>107</v>
      </c>
      <c r="B14" s="604">
        <f>SUM(B4:B13)</f>
        <v>0</v>
      </c>
      <c r="C14" s="602">
        <f t="shared" ref="C14:S14" si="9">SUM(C4:C13)</f>
        <v>1393872.578125</v>
      </c>
      <c r="D14" s="601">
        <f t="shared" si="9"/>
        <v>1393872.578125</v>
      </c>
      <c r="E14" s="604">
        <f t="shared" si="9"/>
        <v>0</v>
      </c>
      <c r="F14" s="602">
        <f t="shared" si="9"/>
        <v>1578915.7720000001</v>
      </c>
      <c r="G14" s="601">
        <f t="shared" si="9"/>
        <v>1578915.7720000001</v>
      </c>
      <c r="H14" s="604">
        <f t="shared" si="9"/>
        <v>0</v>
      </c>
      <c r="I14" s="602">
        <f t="shared" si="9"/>
        <v>3912787.6968750004</v>
      </c>
      <c r="J14" s="601">
        <f t="shared" si="9"/>
        <v>3912787.6968750004</v>
      </c>
      <c r="K14" s="604">
        <f t="shared" ref="K14:P14" si="10">SUM(K4:K13)</f>
        <v>0</v>
      </c>
      <c r="L14" s="602">
        <f t="shared" si="10"/>
        <v>0</v>
      </c>
      <c r="M14" s="601">
        <f t="shared" si="10"/>
        <v>0</v>
      </c>
      <c r="N14" s="604">
        <f t="shared" si="10"/>
        <v>0</v>
      </c>
      <c r="O14" s="602">
        <f t="shared" si="10"/>
        <v>164492.04999999999</v>
      </c>
      <c r="P14" s="601">
        <f t="shared" si="10"/>
        <v>164492.04999999999</v>
      </c>
      <c r="Q14" s="604">
        <f t="shared" si="9"/>
        <v>0</v>
      </c>
      <c r="R14" s="602">
        <f t="shared" si="9"/>
        <v>0</v>
      </c>
      <c r="S14" s="601">
        <f t="shared" si="9"/>
        <v>0</v>
      </c>
      <c r="T14" s="614">
        <f>SUM(T4:T13)</f>
        <v>0</v>
      </c>
      <c r="U14" s="615">
        <f>SUM(U4:U13)</f>
        <v>7050068.0969999982</v>
      </c>
      <c r="V14" s="616">
        <f>SUM(V4:V13)</f>
        <v>7050068.0969999982</v>
      </c>
    </row>
    <row r="15" spans="1:23" ht="15" thickBot="1" x14ac:dyDescent="0.4">
      <c r="A15" s="613" t="s">
        <v>159</v>
      </c>
      <c r="B15" s="612"/>
      <c r="C15" s="610"/>
      <c r="D15" s="608">
        <f>D4+NPV(Faktory!$D$5,D5:D13)</f>
        <v>1247991.3945479884</v>
      </c>
      <c r="E15" s="612"/>
      <c r="F15" s="610"/>
      <c r="G15" s="608">
        <f>G4+NPV(Faktory!$D$5,G5:G13)</f>
        <v>1366021.6647078099</v>
      </c>
      <c r="H15" s="612"/>
      <c r="I15" s="610"/>
      <c r="J15" s="608">
        <f>J4+NPV(Faktory!$D$5,J5:J13)</f>
        <v>3323428.7914002948</v>
      </c>
      <c r="K15" s="612"/>
      <c r="L15" s="610"/>
      <c r="M15" s="608">
        <f>M4+NPV(Faktory!$D$5,M5:M13)</f>
        <v>0</v>
      </c>
      <c r="N15" s="612"/>
      <c r="O15" s="610"/>
      <c r="P15" s="608">
        <f>P4+NPV(Faktory!$D$5,P5:P13)</f>
        <v>164492.04999999999</v>
      </c>
      <c r="Q15" s="612"/>
      <c r="R15" s="610"/>
      <c r="S15" s="608">
        <f>S4+NPV(Faktory!$D$5,S5:S13)</f>
        <v>0</v>
      </c>
      <c r="T15" s="617"/>
      <c r="U15" s="618"/>
      <c r="V15" s="619">
        <f>V4+NPV(Faktory!$D$5,V5:V13)</f>
        <v>6101933.9006560929</v>
      </c>
    </row>
    <row r="16" spans="1:23" x14ac:dyDescent="0.35">
      <c r="A16" s="146"/>
      <c r="B16" s="146"/>
      <c r="C16" s="146"/>
      <c r="D16" s="161"/>
      <c r="E16" s="146"/>
      <c r="F16" s="146"/>
      <c r="G16" s="161"/>
      <c r="H16" s="146"/>
      <c r="I16" s="146"/>
      <c r="J16" s="161"/>
      <c r="K16" s="161"/>
      <c r="L16" s="161"/>
      <c r="M16" s="161"/>
      <c r="N16" s="161"/>
      <c r="O16" s="161"/>
      <c r="P16" s="161"/>
      <c r="Q16" s="146"/>
      <c r="R16" s="146"/>
      <c r="S16" s="161"/>
      <c r="T16" s="182"/>
      <c r="U16" s="182"/>
      <c r="V16" s="182"/>
    </row>
    <row r="17" spans="1:2" x14ac:dyDescent="0.35">
      <c r="A17" s="107"/>
      <c r="B17" s="108" t="s">
        <v>174</v>
      </c>
    </row>
    <row r="22" spans="1:2" x14ac:dyDescent="0.35">
      <c r="B22" s="183"/>
    </row>
  </sheetData>
  <mergeCells count="10">
    <mergeCell ref="Q1:S1"/>
    <mergeCell ref="T1:V1"/>
    <mergeCell ref="B2:D2"/>
    <mergeCell ref="E2:G2"/>
    <mergeCell ref="H2:J2"/>
    <mergeCell ref="Q2:S2"/>
    <mergeCell ref="N1:P1"/>
    <mergeCell ref="N2:P2"/>
    <mergeCell ref="K2:M2"/>
    <mergeCell ref="B1:M1"/>
  </mergeCells>
  <pageMargins left="0.7" right="0.7" top="0.75" bottom="0.75" header="0.3" footer="0.3"/>
  <pageSetup paperSize="9" scale="25"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CC"/>
  </sheetPr>
  <dimension ref="A1:S135"/>
  <sheetViews>
    <sheetView view="pageBreakPreview" topLeftCell="A28" zoomScale="80" zoomScaleNormal="80" zoomScaleSheetLayoutView="80" workbookViewId="0">
      <selection activeCell="M58" sqref="M58"/>
    </sheetView>
  </sheetViews>
  <sheetFormatPr defaultColWidth="9.1796875" defaultRowHeight="14.5" x14ac:dyDescent="0.35"/>
  <cols>
    <col min="1" max="1" width="19.1796875" style="418" customWidth="1"/>
    <col min="2" max="2" width="9.81640625" style="418" bestFit="1" customWidth="1"/>
    <col min="3" max="3" width="8.81640625" style="418" bestFit="1" customWidth="1"/>
    <col min="4" max="4" width="7.81640625" style="418" bestFit="1" customWidth="1"/>
    <col min="5" max="6" width="9.54296875" style="418" bestFit="1" customWidth="1"/>
    <col min="7" max="7" width="11.7265625" style="464" customWidth="1"/>
    <col min="8" max="8" width="11.7265625" style="521" customWidth="1"/>
    <col min="9" max="9" width="14.453125" style="464" bestFit="1" customWidth="1"/>
    <col min="10" max="11" width="11.81640625" style="418" customWidth="1"/>
    <col min="12" max="12" width="12.81640625" style="418" bestFit="1" customWidth="1"/>
    <col min="13" max="13" width="12.54296875" style="522" customWidth="1"/>
    <col min="14" max="14" width="12.54296875" style="521" customWidth="1"/>
    <col min="15" max="15" width="14.453125" style="464" bestFit="1" customWidth="1"/>
    <col min="16" max="16" width="13.7265625" style="522" hidden="1" customWidth="1"/>
    <col min="17" max="17" width="13.7265625" style="521" hidden="1" customWidth="1"/>
    <col min="18" max="18" width="10.26953125" style="464" hidden="1" customWidth="1"/>
    <col min="19" max="19" width="14.7265625" style="499" customWidth="1"/>
    <col min="20" max="22" width="9.1796875" style="418"/>
    <col min="23" max="23" width="12.453125" style="418" bestFit="1" customWidth="1"/>
    <col min="24" max="258" width="9.1796875" style="418"/>
    <col min="259" max="259" width="1.7265625" style="418" customWidth="1"/>
    <col min="260" max="260" width="19.1796875" style="418" customWidth="1"/>
    <col min="261" max="261" width="35.1796875" style="418" customWidth="1"/>
    <col min="262" max="262" width="9.81640625" style="418" bestFit="1" customWidth="1"/>
    <col min="263" max="263" width="8.81640625" style="418" bestFit="1" customWidth="1"/>
    <col min="264" max="274" width="10.26953125" style="418" customWidth="1"/>
    <col min="275" max="514" width="9.1796875" style="418"/>
    <col min="515" max="515" width="1.7265625" style="418" customWidth="1"/>
    <col min="516" max="516" width="19.1796875" style="418" customWidth="1"/>
    <col min="517" max="517" width="35.1796875" style="418" customWidth="1"/>
    <col min="518" max="518" width="9.81640625" style="418" bestFit="1" customWidth="1"/>
    <col min="519" max="519" width="8.81640625" style="418" bestFit="1" customWidth="1"/>
    <col min="520" max="530" width="10.26953125" style="418" customWidth="1"/>
    <col min="531" max="770" width="9.1796875" style="418"/>
    <col min="771" max="771" width="1.7265625" style="418" customWidth="1"/>
    <col min="772" max="772" width="19.1796875" style="418" customWidth="1"/>
    <col min="773" max="773" width="35.1796875" style="418" customWidth="1"/>
    <col min="774" max="774" width="9.81640625" style="418" bestFit="1" customWidth="1"/>
    <col min="775" max="775" width="8.81640625" style="418" bestFit="1" customWidth="1"/>
    <col min="776" max="786" width="10.26953125" style="418" customWidth="1"/>
    <col min="787" max="1026" width="9.1796875" style="418"/>
    <col min="1027" max="1027" width="1.7265625" style="418" customWidth="1"/>
    <col min="1028" max="1028" width="19.1796875" style="418" customWidth="1"/>
    <col min="1029" max="1029" width="35.1796875" style="418" customWidth="1"/>
    <col min="1030" max="1030" width="9.81640625" style="418" bestFit="1" customWidth="1"/>
    <col min="1031" max="1031" width="8.81640625" style="418" bestFit="1" customWidth="1"/>
    <col min="1032" max="1042" width="10.26953125" style="418" customWidth="1"/>
    <col min="1043" max="1282" width="9.1796875" style="418"/>
    <col min="1283" max="1283" width="1.7265625" style="418" customWidth="1"/>
    <col min="1284" max="1284" width="19.1796875" style="418" customWidth="1"/>
    <col min="1285" max="1285" width="35.1796875" style="418" customWidth="1"/>
    <col min="1286" max="1286" width="9.81640625" style="418" bestFit="1" customWidth="1"/>
    <col min="1287" max="1287" width="8.81640625" style="418" bestFit="1" customWidth="1"/>
    <col min="1288" max="1298" width="10.26953125" style="418" customWidth="1"/>
    <col min="1299" max="1538" width="9.1796875" style="418"/>
    <col min="1539" max="1539" width="1.7265625" style="418" customWidth="1"/>
    <col min="1540" max="1540" width="19.1796875" style="418" customWidth="1"/>
    <col min="1541" max="1541" width="35.1796875" style="418" customWidth="1"/>
    <col min="1542" max="1542" width="9.81640625" style="418" bestFit="1" customWidth="1"/>
    <col min="1543" max="1543" width="8.81640625" style="418" bestFit="1" customWidth="1"/>
    <col min="1544" max="1554" width="10.26953125" style="418" customWidth="1"/>
    <col min="1555" max="1794" width="9.1796875" style="418"/>
    <col min="1795" max="1795" width="1.7265625" style="418" customWidth="1"/>
    <col min="1796" max="1796" width="19.1796875" style="418" customWidth="1"/>
    <col min="1797" max="1797" width="35.1796875" style="418" customWidth="1"/>
    <col min="1798" max="1798" width="9.81640625" style="418" bestFit="1" customWidth="1"/>
    <col min="1799" max="1799" width="8.81640625" style="418" bestFit="1" customWidth="1"/>
    <col min="1800" max="1810" width="10.26953125" style="418" customWidth="1"/>
    <col min="1811" max="2050" width="9.1796875" style="418"/>
    <col min="2051" max="2051" width="1.7265625" style="418" customWidth="1"/>
    <col min="2052" max="2052" width="19.1796875" style="418" customWidth="1"/>
    <col min="2053" max="2053" width="35.1796875" style="418" customWidth="1"/>
    <col min="2054" max="2054" width="9.81640625" style="418" bestFit="1" customWidth="1"/>
    <col min="2055" max="2055" width="8.81640625" style="418" bestFit="1" customWidth="1"/>
    <col min="2056" max="2066" width="10.26953125" style="418" customWidth="1"/>
    <col min="2067" max="2306" width="9.1796875" style="418"/>
    <col min="2307" max="2307" width="1.7265625" style="418" customWidth="1"/>
    <col min="2308" max="2308" width="19.1796875" style="418" customWidth="1"/>
    <col min="2309" max="2309" width="35.1796875" style="418" customWidth="1"/>
    <col min="2310" max="2310" width="9.81640625" style="418" bestFit="1" customWidth="1"/>
    <col min="2311" max="2311" width="8.81640625" style="418" bestFit="1" customWidth="1"/>
    <col min="2312" max="2322" width="10.26953125" style="418" customWidth="1"/>
    <col min="2323" max="2562" width="9.1796875" style="418"/>
    <col min="2563" max="2563" width="1.7265625" style="418" customWidth="1"/>
    <col min="2564" max="2564" width="19.1796875" style="418" customWidth="1"/>
    <col min="2565" max="2565" width="35.1796875" style="418" customWidth="1"/>
    <col min="2566" max="2566" width="9.81640625" style="418" bestFit="1" customWidth="1"/>
    <col min="2567" max="2567" width="8.81640625" style="418" bestFit="1" customWidth="1"/>
    <col min="2568" max="2578" width="10.26953125" style="418" customWidth="1"/>
    <col min="2579" max="2818" width="9.1796875" style="418"/>
    <col min="2819" max="2819" width="1.7265625" style="418" customWidth="1"/>
    <col min="2820" max="2820" width="19.1796875" style="418" customWidth="1"/>
    <col min="2821" max="2821" width="35.1796875" style="418" customWidth="1"/>
    <col min="2822" max="2822" width="9.81640625" style="418" bestFit="1" customWidth="1"/>
    <col min="2823" max="2823" width="8.81640625" style="418" bestFit="1" customWidth="1"/>
    <col min="2824" max="2834" width="10.26953125" style="418" customWidth="1"/>
    <col min="2835" max="3074" width="9.1796875" style="418"/>
    <col min="3075" max="3075" width="1.7265625" style="418" customWidth="1"/>
    <col min="3076" max="3076" width="19.1796875" style="418" customWidth="1"/>
    <col min="3077" max="3077" width="35.1796875" style="418" customWidth="1"/>
    <col min="3078" max="3078" width="9.81640625" style="418" bestFit="1" customWidth="1"/>
    <col min="3079" max="3079" width="8.81640625" style="418" bestFit="1" customWidth="1"/>
    <col min="3080" max="3090" width="10.26953125" style="418" customWidth="1"/>
    <col min="3091" max="3330" width="9.1796875" style="418"/>
    <col min="3331" max="3331" width="1.7265625" style="418" customWidth="1"/>
    <col min="3332" max="3332" width="19.1796875" style="418" customWidth="1"/>
    <col min="3333" max="3333" width="35.1796875" style="418" customWidth="1"/>
    <col min="3334" max="3334" width="9.81640625" style="418" bestFit="1" customWidth="1"/>
    <col min="3335" max="3335" width="8.81640625" style="418" bestFit="1" customWidth="1"/>
    <col min="3336" max="3346" width="10.26953125" style="418" customWidth="1"/>
    <col min="3347" max="3586" width="9.1796875" style="418"/>
    <col min="3587" max="3587" width="1.7265625" style="418" customWidth="1"/>
    <col min="3588" max="3588" width="19.1796875" style="418" customWidth="1"/>
    <col min="3589" max="3589" width="35.1796875" style="418" customWidth="1"/>
    <col min="3590" max="3590" width="9.81640625" style="418" bestFit="1" customWidth="1"/>
    <col min="3591" max="3591" width="8.81640625" style="418" bestFit="1" customWidth="1"/>
    <col min="3592" max="3602" width="10.26953125" style="418" customWidth="1"/>
    <col min="3603" max="3842" width="9.1796875" style="418"/>
    <col min="3843" max="3843" width="1.7265625" style="418" customWidth="1"/>
    <col min="3844" max="3844" width="19.1796875" style="418" customWidth="1"/>
    <col min="3845" max="3845" width="35.1796875" style="418" customWidth="1"/>
    <col min="3846" max="3846" width="9.81640625" style="418" bestFit="1" customWidth="1"/>
    <col min="3847" max="3847" width="8.81640625" style="418" bestFit="1" customWidth="1"/>
    <col min="3848" max="3858" width="10.26953125" style="418" customWidth="1"/>
    <col min="3859" max="4098" width="9.1796875" style="418"/>
    <col min="4099" max="4099" width="1.7265625" style="418" customWidth="1"/>
    <col min="4100" max="4100" width="19.1796875" style="418" customWidth="1"/>
    <col min="4101" max="4101" width="35.1796875" style="418" customWidth="1"/>
    <col min="4102" max="4102" width="9.81640625" style="418" bestFit="1" customWidth="1"/>
    <col min="4103" max="4103" width="8.81640625" style="418" bestFit="1" customWidth="1"/>
    <col min="4104" max="4114" width="10.26953125" style="418" customWidth="1"/>
    <col min="4115" max="4354" width="9.1796875" style="418"/>
    <col min="4355" max="4355" width="1.7265625" style="418" customWidth="1"/>
    <col min="4356" max="4356" width="19.1796875" style="418" customWidth="1"/>
    <col min="4357" max="4357" width="35.1796875" style="418" customWidth="1"/>
    <col min="4358" max="4358" width="9.81640625" style="418" bestFit="1" customWidth="1"/>
    <col min="4359" max="4359" width="8.81640625" style="418" bestFit="1" customWidth="1"/>
    <col min="4360" max="4370" width="10.26953125" style="418" customWidth="1"/>
    <col min="4371" max="4610" width="9.1796875" style="418"/>
    <col min="4611" max="4611" width="1.7265625" style="418" customWidth="1"/>
    <col min="4612" max="4612" width="19.1796875" style="418" customWidth="1"/>
    <col min="4613" max="4613" width="35.1796875" style="418" customWidth="1"/>
    <col min="4614" max="4614" width="9.81640625" style="418" bestFit="1" customWidth="1"/>
    <col min="4615" max="4615" width="8.81640625" style="418" bestFit="1" customWidth="1"/>
    <col min="4616" max="4626" width="10.26953125" style="418" customWidth="1"/>
    <col min="4627" max="4866" width="9.1796875" style="418"/>
    <col min="4867" max="4867" width="1.7265625" style="418" customWidth="1"/>
    <col min="4868" max="4868" width="19.1796875" style="418" customWidth="1"/>
    <col min="4869" max="4869" width="35.1796875" style="418" customWidth="1"/>
    <col min="4870" max="4870" width="9.81640625" style="418" bestFit="1" customWidth="1"/>
    <col min="4871" max="4871" width="8.81640625" style="418" bestFit="1" customWidth="1"/>
    <col min="4872" max="4882" width="10.26953125" style="418" customWidth="1"/>
    <col min="4883" max="5122" width="9.1796875" style="418"/>
    <col min="5123" max="5123" width="1.7265625" style="418" customWidth="1"/>
    <col min="5124" max="5124" width="19.1796875" style="418" customWidth="1"/>
    <col min="5125" max="5125" width="35.1796875" style="418" customWidth="1"/>
    <col min="5126" max="5126" width="9.81640625" style="418" bestFit="1" customWidth="1"/>
    <col min="5127" max="5127" width="8.81640625" style="418" bestFit="1" customWidth="1"/>
    <col min="5128" max="5138" width="10.26953125" style="418" customWidth="1"/>
    <col min="5139" max="5378" width="9.1796875" style="418"/>
    <col min="5379" max="5379" width="1.7265625" style="418" customWidth="1"/>
    <col min="5380" max="5380" width="19.1796875" style="418" customWidth="1"/>
    <col min="5381" max="5381" width="35.1796875" style="418" customWidth="1"/>
    <col min="5382" max="5382" width="9.81640625" style="418" bestFit="1" customWidth="1"/>
    <col min="5383" max="5383" width="8.81640625" style="418" bestFit="1" customWidth="1"/>
    <col min="5384" max="5394" width="10.26953125" style="418" customWidth="1"/>
    <col min="5395" max="5634" width="9.1796875" style="418"/>
    <col min="5635" max="5635" width="1.7265625" style="418" customWidth="1"/>
    <col min="5636" max="5636" width="19.1796875" style="418" customWidth="1"/>
    <col min="5637" max="5637" width="35.1796875" style="418" customWidth="1"/>
    <col min="5638" max="5638" width="9.81640625" style="418" bestFit="1" customWidth="1"/>
    <col min="5639" max="5639" width="8.81640625" style="418" bestFit="1" customWidth="1"/>
    <col min="5640" max="5650" width="10.26953125" style="418" customWidth="1"/>
    <col min="5651" max="5890" width="9.1796875" style="418"/>
    <col min="5891" max="5891" width="1.7265625" style="418" customWidth="1"/>
    <col min="5892" max="5892" width="19.1796875" style="418" customWidth="1"/>
    <col min="5893" max="5893" width="35.1796875" style="418" customWidth="1"/>
    <col min="5894" max="5894" width="9.81640625" style="418" bestFit="1" customWidth="1"/>
    <col min="5895" max="5895" width="8.81640625" style="418" bestFit="1" customWidth="1"/>
    <col min="5896" max="5906" width="10.26953125" style="418" customWidth="1"/>
    <col min="5907" max="6146" width="9.1796875" style="418"/>
    <col min="6147" max="6147" width="1.7265625" style="418" customWidth="1"/>
    <col min="6148" max="6148" width="19.1796875" style="418" customWidth="1"/>
    <col min="6149" max="6149" width="35.1796875" style="418" customWidth="1"/>
    <col min="6150" max="6150" width="9.81640625" style="418" bestFit="1" customWidth="1"/>
    <col min="6151" max="6151" width="8.81640625" style="418" bestFit="1" customWidth="1"/>
    <col min="6152" max="6162" width="10.26953125" style="418" customWidth="1"/>
    <col min="6163" max="6402" width="9.1796875" style="418"/>
    <col min="6403" max="6403" width="1.7265625" style="418" customWidth="1"/>
    <col min="6404" max="6404" width="19.1796875" style="418" customWidth="1"/>
    <col min="6405" max="6405" width="35.1796875" style="418" customWidth="1"/>
    <col min="6406" max="6406" width="9.81640625" style="418" bestFit="1" customWidth="1"/>
    <col min="6407" max="6407" width="8.81640625" style="418" bestFit="1" customWidth="1"/>
    <col min="6408" max="6418" width="10.26953125" style="418" customWidth="1"/>
    <col min="6419" max="6658" width="9.1796875" style="418"/>
    <col min="6659" max="6659" width="1.7265625" style="418" customWidth="1"/>
    <col min="6660" max="6660" width="19.1796875" style="418" customWidth="1"/>
    <col min="6661" max="6661" width="35.1796875" style="418" customWidth="1"/>
    <col min="6662" max="6662" width="9.81640625" style="418" bestFit="1" customWidth="1"/>
    <col min="6663" max="6663" width="8.81640625" style="418" bestFit="1" customWidth="1"/>
    <col min="6664" max="6674" width="10.26953125" style="418" customWidth="1"/>
    <col min="6675" max="6914" width="9.1796875" style="418"/>
    <col min="6915" max="6915" width="1.7265625" style="418" customWidth="1"/>
    <col min="6916" max="6916" width="19.1796875" style="418" customWidth="1"/>
    <col min="6917" max="6917" width="35.1796875" style="418" customWidth="1"/>
    <col min="6918" max="6918" width="9.81640625" style="418" bestFit="1" customWidth="1"/>
    <col min="6919" max="6919" width="8.81640625" style="418" bestFit="1" customWidth="1"/>
    <col min="6920" max="6930" width="10.26953125" style="418" customWidth="1"/>
    <col min="6931" max="7170" width="9.1796875" style="418"/>
    <col min="7171" max="7171" width="1.7265625" style="418" customWidth="1"/>
    <col min="7172" max="7172" width="19.1796875" style="418" customWidth="1"/>
    <col min="7173" max="7173" width="35.1796875" style="418" customWidth="1"/>
    <col min="7174" max="7174" width="9.81640625" style="418" bestFit="1" customWidth="1"/>
    <col min="7175" max="7175" width="8.81640625" style="418" bestFit="1" customWidth="1"/>
    <col min="7176" max="7186" width="10.26953125" style="418" customWidth="1"/>
    <col min="7187" max="7426" width="9.1796875" style="418"/>
    <col min="7427" max="7427" width="1.7265625" style="418" customWidth="1"/>
    <col min="7428" max="7428" width="19.1796875" style="418" customWidth="1"/>
    <col min="7429" max="7429" width="35.1796875" style="418" customWidth="1"/>
    <col min="7430" max="7430" width="9.81640625" style="418" bestFit="1" customWidth="1"/>
    <col min="7431" max="7431" width="8.81640625" style="418" bestFit="1" customWidth="1"/>
    <col min="7432" max="7442" width="10.26953125" style="418" customWidth="1"/>
    <col min="7443" max="7682" width="9.1796875" style="418"/>
    <col min="7683" max="7683" width="1.7265625" style="418" customWidth="1"/>
    <col min="7684" max="7684" width="19.1796875" style="418" customWidth="1"/>
    <col min="7685" max="7685" width="35.1796875" style="418" customWidth="1"/>
    <col min="7686" max="7686" width="9.81640625" style="418" bestFit="1" customWidth="1"/>
    <col min="7687" max="7687" width="8.81640625" style="418" bestFit="1" customWidth="1"/>
    <col min="7688" max="7698" width="10.26953125" style="418" customWidth="1"/>
    <col min="7699" max="7938" width="9.1796875" style="418"/>
    <col min="7939" max="7939" width="1.7265625" style="418" customWidth="1"/>
    <col min="7940" max="7940" width="19.1796875" style="418" customWidth="1"/>
    <col min="7941" max="7941" width="35.1796875" style="418" customWidth="1"/>
    <col min="7942" max="7942" width="9.81640625" style="418" bestFit="1" customWidth="1"/>
    <col min="7943" max="7943" width="8.81640625" style="418" bestFit="1" customWidth="1"/>
    <col min="7944" max="7954" width="10.26953125" style="418" customWidth="1"/>
    <col min="7955" max="8194" width="9.1796875" style="418"/>
    <col min="8195" max="8195" width="1.7265625" style="418" customWidth="1"/>
    <col min="8196" max="8196" width="19.1796875" style="418" customWidth="1"/>
    <col min="8197" max="8197" width="35.1796875" style="418" customWidth="1"/>
    <col min="8198" max="8198" width="9.81640625" style="418" bestFit="1" customWidth="1"/>
    <col min="8199" max="8199" width="8.81640625" style="418" bestFit="1" customWidth="1"/>
    <col min="8200" max="8210" width="10.26953125" style="418" customWidth="1"/>
    <col min="8211" max="8450" width="9.1796875" style="418"/>
    <col min="8451" max="8451" width="1.7265625" style="418" customWidth="1"/>
    <col min="8452" max="8452" width="19.1796875" style="418" customWidth="1"/>
    <col min="8453" max="8453" width="35.1796875" style="418" customWidth="1"/>
    <col min="8454" max="8454" width="9.81640625" style="418" bestFit="1" customWidth="1"/>
    <col min="8455" max="8455" width="8.81640625" style="418" bestFit="1" customWidth="1"/>
    <col min="8456" max="8466" width="10.26953125" style="418" customWidth="1"/>
    <col min="8467" max="8706" width="9.1796875" style="418"/>
    <col min="8707" max="8707" width="1.7265625" style="418" customWidth="1"/>
    <col min="8708" max="8708" width="19.1796875" style="418" customWidth="1"/>
    <col min="8709" max="8709" width="35.1796875" style="418" customWidth="1"/>
    <col min="8710" max="8710" width="9.81640625" style="418" bestFit="1" customWidth="1"/>
    <col min="8711" max="8711" width="8.81640625" style="418" bestFit="1" customWidth="1"/>
    <col min="8712" max="8722" width="10.26953125" style="418" customWidth="1"/>
    <col min="8723" max="8962" width="9.1796875" style="418"/>
    <col min="8963" max="8963" width="1.7265625" style="418" customWidth="1"/>
    <col min="8964" max="8964" width="19.1796875" style="418" customWidth="1"/>
    <col min="8965" max="8965" width="35.1796875" style="418" customWidth="1"/>
    <col min="8966" max="8966" width="9.81640625" style="418" bestFit="1" customWidth="1"/>
    <col min="8967" max="8967" width="8.81640625" style="418" bestFit="1" customWidth="1"/>
    <col min="8968" max="8978" width="10.26953125" style="418" customWidth="1"/>
    <col min="8979" max="9218" width="9.1796875" style="418"/>
    <col min="9219" max="9219" width="1.7265625" style="418" customWidth="1"/>
    <col min="9220" max="9220" width="19.1796875" style="418" customWidth="1"/>
    <col min="9221" max="9221" width="35.1796875" style="418" customWidth="1"/>
    <col min="9222" max="9222" width="9.81640625" style="418" bestFit="1" customWidth="1"/>
    <col min="9223" max="9223" width="8.81640625" style="418" bestFit="1" customWidth="1"/>
    <col min="9224" max="9234" width="10.26953125" style="418" customWidth="1"/>
    <col min="9235" max="9474" width="9.1796875" style="418"/>
    <col min="9475" max="9475" width="1.7265625" style="418" customWidth="1"/>
    <col min="9476" max="9476" width="19.1796875" style="418" customWidth="1"/>
    <col min="9477" max="9477" width="35.1796875" style="418" customWidth="1"/>
    <col min="9478" max="9478" width="9.81640625" style="418" bestFit="1" customWidth="1"/>
    <col min="9479" max="9479" width="8.81640625" style="418" bestFit="1" customWidth="1"/>
    <col min="9480" max="9490" width="10.26953125" style="418" customWidth="1"/>
    <col min="9491" max="9730" width="9.1796875" style="418"/>
    <col min="9731" max="9731" width="1.7265625" style="418" customWidth="1"/>
    <col min="9732" max="9732" width="19.1796875" style="418" customWidth="1"/>
    <col min="9733" max="9733" width="35.1796875" style="418" customWidth="1"/>
    <col min="9734" max="9734" width="9.81640625" style="418" bestFit="1" customWidth="1"/>
    <col min="9735" max="9735" width="8.81640625" style="418" bestFit="1" customWidth="1"/>
    <col min="9736" max="9746" width="10.26953125" style="418" customWidth="1"/>
    <col min="9747" max="9986" width="9.1796875" style="418"/>
    <col min="9987" max="9987" width="1.7265625" style="418" customWidth="1"/>
    <col min="9988" max="9988" width="19.1796875" style="418" customWidth="1"/>
    <col min="9989" max="9989" width="35.1796875" style="418" customWidth="1"/>
    <col min="9990" max="9990" width="9.81640625" style="418" bestFit="1" customWidth="1"/>
    <col min="9991" max="9991" width="8.81640625" style="418" bestFit="1" customWidth="1"/>
    <col min="9992" max="10002" width="10.26953125" style="418" customWidth="1"/>
    <col min="10003" max="10242" width="9.1796875" style="418"/>
    <col min="10243" max="10243" width="1.7265625" style="418" customWidth="1"/>
    <col min="10244" max="10244" width="19.1796875" style="418" customWidth="1"/>
    <col min="10245" max="10245" width="35.1796875" style="418" customWidth="1"/>
    <col min="10246" max="10246" width="9.81640625" style="418" bestFit="1" customWidth="1"/>
    <col min="10247" max="10247" width="8.81640625" style="418" bestFit="1" customWidth="1"/>
    <col min="10248" max="10258" width="10.26953125" style="418" customWidth="1"/>
    <col min="10259" max="10498" width="9.1796875" style="418"/>
    <col min="10499" max="10499" width="1.7265625" style="418" customWidth="1"/>
    <col min="10500" max="10500" width="19.1796875" style="418" customWidth="1"/>
    <col min="10501" max="10501" width="35.1796875" style="418" customWidth="1"/>
    <col min="10502" max="10502" width="9.81640625" style="418" bestFit="1" customWidth="1"/>
    <col min="10503" max="10503" width="8.81640625" style="418" bestFit="1" customWidth="1"/>
    <col min="10504" max="10514" width="10.26953125" style="418" customWidth="1"/>
    <col min="10515" max="10754" width="9.1796875" style="418"/>
    <col min="10755" max="10755" width="1.7265625" style="418" customWidth="1"/>
    <col min="10756" max="10756" width="19.1796875" style="418" customWidth="1"/>
    <col min="10757" max="10757" width="35.1796875" style="418" customWidth="1"/>
    <col min="10758" max="10758" width="9.81640625" style="418" bestFit="1" customWidth="1"/>
    <col min="10759" max="10759" width="8.81640625" style="418" bestFit="1" customWidth="1"/>
    <col min="10760" max="10770" width="10.26953125" style="418" customWidth="1"/>
    <col min="10771" max="11010" width="9.1796875" style="418"/>
    <col min="11011" max="11011" width="1.7265625" style="418" customWidth="1"/>
    <col min="11012" max="11012" width="19.1796875" style="418" customWidth="1"/>
    <col min="11013" max="11013" width="35.1796875" style="418" customWidth="1"/>
    <col min="11014" max="11014" width="9.81640625" style="418" bestFit="1" customWidth="1"/>
    <col min="11015" max="11015" width="8.81640625" style="418" bestFit="1" customWidth="1"/>
    <col min="11016" max="11026" width="10.26953125" style="418" customWidth="1"/>
    <col min="11027" max="11266" width="9.1796875" style="418"/>
    <col min="11267" max="11267" width="1.7265625" style="418" customWidth="1"/>
    <col min="11268" max="11268" width="19.1796875" style="418" customWidth="1"/>
    <col min="11269" max="11269" width="35.1796875" style="418" customWidth="1"/>
    <col min="11270" max="11270" width="9.81640625" style="418" bestFit="1" customWidth="1"/>
    <col min="11271" max="11271" width="8.81640625" style="418" bestFit="1" customWidth="1"/>
    <col min="11272" max="11282" width="10.26953125" style="418" customWidth="1"/>
    <col min="11283" max="11522" width="9.1796875" style="418"/>
    <col min="11523" max="11523" width="1.7265625" style="418" customWidth="1"/>
    <col min="11524" max="11524" width="19.1796875" style="418" customWidth="1"/>
    <col min="11525" max="11525" width="35.1796875" style="418" customWidth="1"/>
    <col min="11526" max="11526" width="9.81640625" style="418" bestFit="1" customWidth="1"/>
    <col min="11527" max="11527" width="8.81640625" style="418" bestFit="1" customWidth="1"/>
    <col min="11528" max="11538" width="10.26953125" style="418" customWidth="1"/>
    <col min="11539" max="11778" width="9.1796875" style="418"/>
    <col min="11779" max="11779" width="1.7265625" style="418" customWidth="1"/>
    <col min="11780" max="11780" width="19.1796875" style="418" customWidth="1"/>
    <col min="11781" max="11781" width="35.1796875" style="418" customWidth="1"/>
    <col min="11782" max="11782" width="9.81640625" style="418" bestFit="1" customWidth="1"/>
    <col min="11783" max="11783" width="8.81640625" style="418" bestFit="1" customWidth="1"/>
    <col min="11784" max="11794" width="10.26953125" style="418" customWidth="1"/>
    <col min="11795" max="12034" width="9.1796875" style="418"/>
    <col min="12035" max="12035" width="1.7265625" style="418" customWidth="1"/>
    <col min="12036" max="12036" width="19.1796875" style="418" customWidth="1"/>
    <col min="12037" max="12037" width="35.1796875" style="418" customWidth="1"/>
    <col min="12038" max="12038" width="9.81640625" style="418" bestFit="1" customWidth="1"/>
    <col min="12039" max="12039" width="8.81640625" style="418" bestFit="1" customWidth="1"/>
    <col min="12040" max="12050" width="10.26953125" style="418" customWidth="1"/>
    <col min="12051" max="12290" width="9.1796875" style="418"/>
    <col min="12291" max="12291" width="1.7265625" style="418" customWidth="1"/>
    <col min="12292" max="12292" width="19.1796875" style="418" customWidth="1"/>
    <col min="12293" max="12293" width="35.1796875" style="418" customWidth="1"/>
    <col min="12294" max="12294" width="9.81640625" style="418" bestFit="1" customWidth="1"/>
    <col min="12295" max="12295" width="8.81640625" style="418" bestFit="1" customWidth="1"/>
    <col min="12296" max="12306" width="10.26953125" style="418" customWidth="1"/>
    <col min="12307" max="12546" width="9.1796875" style="418"/>
    <col min="12547" max="12547" width="1.7265625" style="418" customWidth="1"/>
    <col min="12548" max="12548" width="19.1796875" style="418" customWidth="1"/>
    <col min="12549" max="12549" width="35.1796875" style="418" customWidth="1"/>
    <col min="12550" max="12550" width="9.81640625" style="418" bestFit="1" customWidth="1"/>
    <col min="12551" max="12551" width="8.81640625" style="418" bestFit="1" customWidth="1"/>
    <col min="12552" max="12562" width="10.26953125" style="418" customWidth="1"/>
    <col min="12563" max="12802" width="9.1796875" style="418"/>
    <col min="12803" max="12803" width="1.7265625" style="418" customWidth="1"/>
    <col min="12804" max="12804" width="19.1796875" style="418" customWidth="1"/>
    <col min="12805" max="12805" width="35.1796875" style="418" customWidth="1"/>
    <col min="12806" max="12806" width="9.81640625" style="418" bestFit="1" customWidth="1"/>
    <col min="12807" max="12807" width="8.81640625" style="418" bestFit="1" customWidth="1"/>
    <col min="12808" max="12818" width="10.26953125" style="418" customWidth="1"/>
    <col min="12819" max="13058" width="9.1796875" style="418"/>
    <col min="13059" max="13059" width="1.7265625" style="418" customWidth="1"/>
    <col min="13060" max="13060" width="19.1796875" style="418" customWidth="1"/>
    <col min="13061" max="13061" width="35.1796875" style="418" customWidth="1"/>
    <col min="13062" max="13062" width="9.81640625" style="418" bestFit="1" customWidth="1"/>
    <col min="13063" max="13063" width="8.81640625" style="418" bestFit="1" customWidth="1"/>
    <col min="13064" max="13074" width="10.26953125" style="418" customWidth="1"/>
    <col min="13075" max="13314" width="9.1796875" style="418"/>
    <col min="13315" max="13315" width="1.7265625" style="418" customWidth="1"/>
    <col min="13316" max="13316" width="19.1796875" style="418" customWidth="1"/>
    <col min="13317" max="13317" width="35.1796875" style="418" customWidth="1"/>
    <col min="13318" max="13318" width="9.81640625" style="418" bestFit="1" customWidth="1"/>
    <col min="13319" max="13319" width="8.81640625" style="418" bestFit="1" customWidth="1"/>
    <col min="13320" max="13330" width="10.26953125" style="418" customWidth="1"/>
    <col min="13331" max="13570" width="9.1796875" style="418"/>
    <col min="13571" max="13571" width="1.7265625" style="418" customWidth="1"/>
    <col min="13572" max="13572" width="19.1796875" style="418" customWidth="1"/>
    <col min="13573" max="13573" width="35.1796875" style="418" customWidth="1"/>
    <col min="13574" max="13574" width="9.81640625" style="418" bestFit="1" customWidth="1"/>
    <col min="13575" max="13575" width="8.81640625" style="418" bestFit="1" customWidth="1"/>
    <col min="13576" max="13586" width="10.26953125" style="418" customWidth="1"/>
    <col min="13587" max="13826" width="9.1796875" style="418"/>
    <col min="13827" max="13827" width="1.7265625" style="418" customWidth="1"/>
    <col min="13828" max="13828" width="19.1796875" style="418" customWidth="1"/>
    <col min="13829" max="13829" width="35.1796875" style="418" customWidth="1"/>
    <col min="13830" max="13830" width="9.81640625" style="418" bestFit="1" customWidth="1"/>
    <col min="13831" max="13831" width="8.81640625" style="418" bestFit="1" customWidth="1"/>
    <col min="13832" max="13842" width="10.26953125" style="418" customWidth="1"/>
    <col min="13843" max="14082" width="9.1796875" style="418"/>
    <col min="14083" max="14083" width="1.7265625" style="418" customWidth="1"/>
    <col min="14084" max="14084" width="19.1796875" style="418" customWidth="1"/>
    <col min="14085" max="14085" width="35.1796875" style="418" customWidth="1"/>
    <col min="14086" max="14086" width="9.81640625" style="418" bestFit="1" customWidth="1"/>
    <col min="14087" max="14087" width="8.81640625" style="418" bestFit="1" customWidth="1"/>
    <col min="14088" max="14098" width="10.26953125" style="418" customWidth="1"/>
    <col min="14099" max="14338" width="9.1796875" style="418"/>
    <col min="14339" max="14339" width="1.7265625" style="418" customWidth="1"/>
    <col min="14340" max="14340" width="19.1796875" style="418" customWidth="1"/>
    <col min="14341" max="14341" width="35.1796875" style="418" customWidth="1"/>
    <col min="14342" max="14342" width="9.81640625" style="418" bestFit="1" customWidth="1"/>
    <col min="14343" max="14343" width="8.81640625" style="418" bestFit="1" customWidth="1"/>
    <col min="14344" max="14354" width="10.26953125" style="418" customWidth="1"/>
    <col min="14355" max="14594" width="9.1796875" style="418"/>
    <col min="14595" max="14595" width="1.7265625" style="418" customWidth="1"/>
    <col min="14596" max="14596" width="19.1796875" style="418" customWidth="1"/>
    <col min="14597" max="14597" width="35.1796875" style="418" customWidth="1"/>
    <col min="14598" max="14598" width="9.81640625" style="418" bestFit="1" customWidth="1"/>
    <col min="14599" max="14599" width="8.81640625" style="418" bestFit="1" customWidth="1"/>
    <col min="14600" max="14610" width="10.26953125" style="418" customWidth="1"/>
    <col min="14611" max="14850" width="9.1796875" style="418"/>
    <col min="14851" max="14851" width="1.7265625" style="418" customWidth="1"/>
    <col min="14852" max="14852" width="19.1796875" style="418" customWidth="1"/>
    <col min="14853" max="14853" width="35.1796875" style="418" customWidth="1"/>
    <col min="14854" max="14854" width="9.81640625" style="418" bestFit="1" customWidth="1"/>
    <col min="14855" max="14855" width="8.81640625" style="418" bestFit="1" customWidth="1"/>
    <col min="14856" max="14866" width="10.26953125" style="418" customWidth="1"/>
    <col min="14867" max="15106" width="9.1796875" style="418"/>
    <col min="15107" max="15107" width="1.7265625" style="418" customWidth="1"/>
    <col min="15108" max="15108" width="19.1796875" style="418" customWidth="1"/>
    <col min="15109" max="15109" width="35.1796875" style="418" customWidth="1"/>
    <col min="15110" max="15110" width="9.81640625" style="418" bestFit="1" customWidth="1"/>
    <col min="15111" max="15111" width="8.81640625" style="418" bestFit="1" customWidth="1"/>
    <col min="15112" max="15122" width="10.26953125" style="418" customWidth="1"/>
    <col min="15123" max="15362" width="9.1796875" style="418"/>
    <col min="15363" max="15363" width="1.7265625" style="418" customWidth="1"/>
    <col min="15364" max="15364" width="19.1796875" style="418" customWidth="1"/>
    <col min="15365" max="15365" width="35.1796875" style="418" customWidth="1"/>
    <col min="15366" max="15366" width="9.81640625" style="418" bestFit="1" customWidth="1"/>
    <col min="15367" max="15367" width="8.81640625" style="418" bestFit="1" customWidth="1"/>
    <col min="15368" max="15378" width="10.26953125" style="418" customWidth="1"/>
    <col min="15379" max="15618" width="9.1796875" style="418"/>
    <col min="15619" max="15619" width="1.7265625" style="418" customWidth="1"/>
    <col min="15620" max="15620" width="19.1796875" style="418" customWidth="1"/>
    <col min="15621" max="15621" width="35.1796875" style="418" customWidth="1"/>
    <col min="15622" max="15622" width="9.81640625" style="418" bestFit="1" customWidth="1"/>
    <col min="15623" max="15623" width="8.81640625" style="418" bestFit="1" customWidth="1"/>
    <col min="15624" max="15634" width="10.26953125" style="418" customWidth="1"/>
    <col min="15635" max="15874" width="9.1796875" style="418"/>
    <col min="15875" max="15875" width="1.7265625" style="418" customWidth="1"/>
    <col min="15876" max="15876" width="19.1796875" style="418" customWidth="1"/>
    <col min="15877" max="15877" width="35.1796875" style="418" customWidth="1"/>
    <col min="15878" max="15878" width="9.81640625" style="418" bestFit="1" customWidth="1"/>
    <col min="15879" max="15879" width="8.81640625" style="418" bestFit="1" customWidth="1"/>
    <col min="15880" max="15890" width="10.26953125" style="418" customWidth="1"/>
    <col min="15891" max="16130" width="9.1796875" style="418"/>
    <col min="16131" max="16131" width="1.7265625" style="418" customWidth="1"/>
    <col min="16132" max="16132" width="19.1796875" style="418" customWidth="1"/>
    <col min="16133" max="16133" width="35.1796875" style="418" customWidth="1"/>
    <col min="16134" max="16134" width="9.81640625" style="418" bestFit="1" customWidth="1"/>
    <col min="16135" max="16135" width="8.81640625" style="418" bestFit="1" customWidth="1"/>
    <col min="16136" max="16146" width="10.26953125" style="418" customWidth="1"/>
    <col min="16147" max="16384" width="9.1796875" style="418"/>
  </cols>
  <sheetData>
    <row r="1" spans="1:19" s="393" customFormat="1" ht="36" customHeight="1" x14ac:dyDescent="0.35">
      <c r="A1" s="391"/>
      <c r="B1" s="391"/>
      <c r="C1" s="391"/>
      <c r="D1" s="776" t="s">
        <v>107</v>
      </c>
      <c r="E1" s="777"/>
      <c r="F1" s="778"/>
      <c r="G1" s="762"/>
      <c r="H1" s="762"/>
      <c r="I1" s="764"/>
      <c r="J1" s="761"/>
      <c r="K1" s="762"/>
      <c r="L1" s="764"/>
      <c r="M1" s="761"/>
      <c r="N1" s="762"/>
      <c r="O1" s="764"/>
      <c r="P1" s="761" t="s">
        <v>166</v>
      </c>
      <c r="Q1" s="762"/>
      <c r="R1" s="763"/>
      <c r="S1" s="392"/>
    </row>
    <row r="2" spans="1:19" s="393" customFormat="1" ht="46.9" customHeight="1" x14ac:dyDescent="0.35">
      <c r="A2" s="391" t="s">
        <v>354</v>
      </c>
      <c r="B2" s="391"/>
      <c r="C2" s="391"/>
      <c r="D2" s="640"/>
      <c r="E2" s="638"/>
      <c r="F2" s="639"/>
      <c r="G2" s="780" t="s">
        <v>364</v>
      </c>
      <c r="H2" s="762"/>
      <c r="I2" s="764"/>
      <c r="J2" s="761" t="s">
        <v>365</v>
      </c>
      <c r="K2" s="762"/>
      <c r="L2" s="764"/>
      <c r="M2" s="761" t="s">
        <v>366</v>
      </c>
      <c r="N2" s="762"/>
      <c r="O2" s="764"/>
      <c r="P2" s="761" t="s">
        <v>355</v>
      </c>
      <c r="Q2" s="762"/>
      <c r="R2" s="763"/>
      <c r="S2" s="392"/>
    </row>
    <row r="3" spans="1:19" s="393" customFormat="1" ht="36" customHeight="1" x14ac:dyDescent="0.35">
      <c r="A3" s="391"/>
      <c r="B3" s="391"/>
      <c r="C3" s="391"/>
      <c r="D3" s="394"/>
      <c r="E3" s="395"/>
      <c r="F3" s="396"/>
      <c r="G3" s="779" t="str">
        <f>'TCO TO BE- SW'!F1</f>
        <v>Modul DMS a formulárových technológií</v>
      </c>
      <c r="H3" s="759"/>
      <c r="I3" s="765"/>
      <c r="J3" s="758" t="str">
        <f>'TCO TO BE- SW'!G1</f>
        <v>Modul worklow</v>
      </c>
      <c r="K3" s="759"/>
      <c r="L3" s="765"/>
      <c r="M3" s="758" t="str">
        <f>'TCO TO BE- SW'!H1</f>
        <v>Modul analytických nástrojov</v>
      </c>
      <c r="N3" s="759"/>
      <c r="O3" s="765"/>
      <c r="P3" s="758" t="str">
        <f>'TCO TO BE- SW'!I1</f>
        <v>Modul pre získavanie a prenos dát</v>
      </c>
      <c r="Q3" s="759"/>
      <c r="R3" s="760"/>
      <c r="S3" s="392"/>
    </row>
    <row r="4" spans="1:19" s="407" customFormat="1" ht="15.75" customHeight="1" thickBot="1" x14ac:dyDescent="0.4">
      <c r="A4" s="397" t="s">
        <v>40</v>
      </c>
      <c r="B4" s="397" t="s">
        <v>10</v>
      </c>
      <c r="C4" s="398" t="s">
        <v>23</v>
      </c>
      <c r="D4" s="399" t="s">
        <v>226</v>
      </c>
      <c r="E4" s="400" t="s">
        <v>170</v>
      </c>
      <c r="F4" s="401" t="s">
        <v>158</v>
      </c>
      <c r="G4" s="402" t="s">
        <v>226</v>
      </c>
      <c r="H4" s="402" t="s">
        <v>170</v>
      </c>
      <c r="I4" s="403" t="s">
        <v>158</v>
      </c>
      <c r="J4" s="404" t="s">
        <v>226</v>
      </c>
      <c r="K4" s="402" t="s">
        <v>170</v>
      </c>
      <c r="L4" s="403" t="s">
        <v>158</v>
      </c>
      <c r="M4" s="404" t="s">
        <v>226</v>
      </c>
      <c r="N4" s="402" t="s">
        <v>170</v>
      </c>
      <c r="O4" s="403" t="s">
        <v>158</v>
      </c>
      <c r="P4" s="404" t="s">
        <v>226</v>
      </c>
      <c r="Q4" s="402" t="s">
        <v>170</v>
      </c>
      <c r="R4" s="405" t="s">
        <v>158</v>
      </c>
      <c r="S4" s="406"/>
    </row>
    <row r="5" spans="1:19" ht="14.5" customHeight="1" x14ac:dyDescent="0.35">
      <c r="A5" s="770" t="s">
        <v>458</v>
      </c>
      <c r="B5" s="773" t="s">
        <v>37</v>
      </c>
      <c r="C5" s="408" t="s">
        <v>25</v>
      </c>
      <c r="D5" s="409">
        <f t="shared" ref="D5:D14" si="0">G5+J5+M5+P5</f>
        <v>93</v>
      </c>
      <c r="E5" s="410">
        <f t="shared" ref="E5:E14" si="1">H5+K5+N5+Q5</f>
        <v>93</v>
      </c>
      <c r="F5" s="411">
        <f t="shared" ref="F5:F14" si="2">I5+L5+O5+R5</f>
        <v>0</v>
      </c>
      <c r="G5" s="412">
        <f xml:space="preserve"> (2*12)+7</f>
        <v>31</v>
      </c>
      <c r="H5" s="413">
        <v>31</v>
      </c>
      <c r="I5" s="414">
        <f>H5-G5</f>
        <v>0</v>
      </c>
      <c r="J5" s="413">
        <f xml:space="preserve"> (2*12)+7</f>
        <v>31</v>
      </c>
      <c r="K5" s="413">
        <v>31</v>
      </c>
      <c r="L5" s="414">
        <f>K5-J5</f>
        <v>0</v>
      </c>
      <c r="M5" s="413">
        <f>(2*12)+7</f>
        <v>31</v>
      </c>
      <c r="N5" s="413">
        <v>31</v>
      </c>
      <c r="O5" s="414">
        <f>N5-M5</f>
        <v>0</v>
      </c>
      <c r="P5" s="413"/>
      <c r="Q5" s="415"/>
      <c r="R5" s="416"/>
      <c r="S5" s="417">
        <v>0</v>
      </c>
    </row>
    <row r="6" spans="1:19" x14ac:dyDescent="0.35">
      <c r="A6" s="771"/>
      <c r="B6" s="774"/>
      <c r="C6" s="419" t="s">
        <v>26</v>
      </c>
      <c r="D6" s="420">
        <f t="shared" si="0"/>
        <v>93</v>
      </c>
      <c r="E6" s="421">
        <f t="shared" si="1"/>
        <v>273</v>
      </c>
      <c r="F6" s="422">
        <f t="shared" si="2"/>
        <v>180</v>
      </c>
      <c r="G6" s="423">
        <f t="shared" ref="G6:G14" si="3" xml:space="preserve"> (2*12)+7</f>
        <v>31</v>
      </c>
      <c r="H6" s="424">
        <f t="shared" ref="H6:H14" si="4" xml:space="preserve"> 7*(12+1)</f>
        <v>91</v>
      </c>
      <c r="I6" s="425">
        <f t="shared" ref="I6:I14" si="5">H6-G6</f>
        <v>60</v>
      </c>
      <c r="J6" s="424">
        <f t="shared" ref="J6:J14" si="6" xml:space="preserve"> (2*12)+7</f>
        <v>31</v>
      </c>
      <c r="K6" s="424">
        <f t="shared" ref="K6:K14" si="7">7*(12+1)</f>
        <v>91</v>
      </c>
      <c r="L6" s="425">
        <f t="shared" ref="L6:L14" si="8">K6-J6</f>
        <v>60</v>
      </c>
      <c r="M6" s="424">
        <f t="shared" ref="M6:M14" si="9">(2*12)+7</f>
        <v>31</v>
      </c>
      <c r="N6" s="424">
        <f t="shared" ref="N6:N14" si="10">7*(12+1)</f>
        <v>91</v>
      </c>
      <c r="O6" s="425">
        <f t="shared" ref="O6:O14" si="11">N6-M6</f>
        <v>60</v>
      </c>
      <c r="P6" s="424"/>
      <c r="Q6" s="426"/>
      <c r="R6" s="427"/>
      <c r="S6" s="417"/>
    </row>
    <row r="7" spans="1:19" x14ac:dyDescent="0.35">
      <c r="A7" s="771"/>
      <c r="B7" s="774"/>
      <c r="C7" s="419" t="s">
        <v>27</v>
      </c>
      <c r="D7" s="420">
        <f t="shared" si="0"/>
        <v>93</v>
      </c>
      <c r="E7" s="421">
        <f t="shared" si="1"/>
        <v>273</v>
      </c>
      <c r="F7" s="422">
        <f t="shared" si="2"/>
        <v>180</v>
      </c>
      <c r="G7" s="423">
        <f t="shared" si="3"/>
        <v>31</v>
      </c>
      <c r="H7" s="424">
        <f t="shared" si="4"/>
        <v>91</v>
      </c>
      <c r="I7" s="425">
        <f t="shared" si="5"/>
        <v>60</v>
      </c>
      <c r="J7" s="424">
        <f t="shared" si="6"/>
        <v>31</v>
      </c>
      <c r="K7" s="424">
        <f t="shared" si="7"/>
        <v>91</v>
      </c>
      <c r="L7" s="425">
        <f t="shared" si="8"/>
        <v>60</v>
      </c>
      <c r="M7" s="424">
        <f t="shared" si="9"/>
        <v>31</v>
      </c>
      <c r="N7" s="424">
        <f t="shared" si="10"/>
        <v>91</v>
      </c>
      <c r="O7" s="425">
        <f t="shared" si="11"/>
        <v>60</v>
      </c>
      <c r="P7" s="424"/>
      <c r="Q7" s="426"/>
      <c r="R7" s="427"/>
      <c r="S7" s="417"/>
    </row>
    <row r="8" spans="1:19" x14ac:dyDescent="0.35">
      <c r="A8" s="771"/>
      <c r="B8" s="774"/>
      <c r="C8" s="419" t="s">
        <v>28</v>
      </c>
      <c r="D8" s="420">
        <f t="shared" si="0"/>
        <v>93</v>
      </c>
      <c r="E8" s="421">
        <f t="shared" si="1"/>
        <v>273</v>
      </c>
      <c r="F8" s="422">
        <f t="shared" si="2"/>
        <v>180</v>
      </c>
      <c r="G8" s="423">
        <f t="shared" si="3"/>
        <v>31</v>
      </c>
      <c r="H8" s="424">
        <f t="shared" si="4"/>
        <v>91</v>
      </c>
      <c r="I8" s="425">
        <f t="shared" si="5"/>
        <v>60</v>
      </c>
      <c r="J8" s="424">
        <f t="shared" si="6"/>
        <v>31</v>
      </c>
      <c r="K8" s="424">
        <f t="shared" si="7"/>
        <v>91</v>
      </c>
      <c r="L8" s="425">
        <f t="shared" si="8"/>
        <v>60</v>
      </c>
      <c r="M8" s="424">
        <f t="shared" si="9"/>
        <v>31</v>
      </c>
      <c r="N8" s="424">
        <f t="shared" si="10"/>
        <v>91</v>
      </c>
      <c r="O8" s="425">
        <f t="shared" si="11"/>
        <v>60</v>
      </c>
      <c r="P8" s="424"/>
      <c r="Q8" s="426"/>
      <c r="R8" s="427"/>
      <c r="S8" s="417"/>
    </row>
    <row r="9" spans="1:19" x14ac:dyDescent="0.35">
      <c r="A9" s="771"/>
      <c r="B9" s="774"/>
      <c r="C9" s="419" t="s">
        <v>29</v>
      </c>
      <c r="D9" s="420">
        <f t="shared" si="0"/>
        <v>93</v>
      </c>
      <c r="E9" s="421">
        <f t="shared" si="1"/>
        <v>273</v>
      </c>
      <c r="F9" s="422">
        <f t="shared" si="2"/>
        <v>180</v>
      </c>
      <c r="G9" s="423">
        <f t="shared" si="3"/>
        <v>31</v>
      </c>
      <c r="H9" s="424">
        <f t="shared" si="4"/>
        <v>91</v>
      </c>
      <c r="I9" s="425">
        <f t="shared" ref="I9:I13" si="12">H9-G9</f>
        <v>60</v>
      </c>
      <c r="J9" s="424">
        <f t="shared" si="6"/>
        <v>31</v>
      </c>
      <c r="K9" s="424">
        <f t="shared" si="7"/>
        <v>91</v>
      </c>
      <c r="L9" s="425">
        <f t="shared" ref="L9:L13" si="13">K9-J9</f>
        <v>60</v>
      </c>
      <c r="M9" s="424">
        <f t="shared" si="9"/>
        <v>31</v>
      </c>
      <c r="N9" s="424">
        <f t="shared" si="10"/>
        <v>91</v>
      </c>
      <c r="O9" s="425">
        <f t="shared" ref="O9:O13" si="14">N9-M9</f>
        <v>60</v>
      </c>
      <c r="P9" s="424"/>
      <c r="Q9" s="426"/>
      <c r="R9" s="427"/>
      <c r="S9" s="417"/>
    </row>
    <row r="10" spans="1:19" x14ac:dyDescent="0.35">
      <c r="A10" s="771"/>
      <c r="B10" s="774"/>
      <c r="C10" s="419" t="s">
        <v>30</v>
      </c>
      <c r="D10" s="420">
        <f t="shared" si="0"/>
        <v>93</v>
      </c>
      <c r="E10" s="421">
        <f t="shared" si="1"/>
        <v>273</v>
      </c>
      <c r="F10" s="422">
        <f t="shared" si="2"/>
        <v>180</v>
      </c>
      <c r="G10" s="423">
        <f t="shared" si="3"/>
        <v>31</v>
      </c>
      <c r="H10" s="424">
        <f t="shared" si="4"/>
        <v>91</v>
      </c>
      <c r="I10" s="425">
        <f t="shared" si="12"/>
        <v>60</v>
      </c>
      <c r="J10" s="424">
        <f t="shared" si="6"/>
        <v>31</v>
      </c>
      <c r="K10" s="424">
        <f t="shared" si="7"/>
        <v>91</v>
      </c>
      <c r="L10" s="425">
        <f t="shared" si="13"/>
        <v>60</v>
      </c>
      <c r="M10" s="424">
        <f t="shared" si="9"/>
        <v>31</v>
      </c>
      <c r="N10" s="424">
        <f t="shared" si="10"/>
        <v>91</v>
      </c>
      <c r="O10" s="425">
        <f t="shared" si="14"/>
        <v>60</v>
      </c>
      <c r="P10" s="424"/>
      <c r="Q10" s="426"/>
      <c r="R10" s="427"/>
      <c r="S10" s="417"/>
    </row>
    <row r="11" spans="1:19" x14ac:dyDescent="0.35">
      <c r="A11" s="771"/>
      <c r="B11" s="774"/>
      <c r="C11" s="419" t="s">
        <v>31</v>
      </c>
      <c r="D11" s="420">
        <f t="shared" si="0"/>
        <v>93</v>
      </c>
      <c r="E11" s="421">
        <f t="shared" si="1"/>
        <v>273</v>
      </c>
      <c r="F11" s="422">
        <f t="shared" si="2"/>
        <v>180</v>
      </c>
      <c r="G11" s="423">
        <f t="shared" si="3"/>
        <v>31</v>
      </c>
      <c r="H11" s="424">
        <f t="shared" si="4"/>
        <v>91</v>
      </c>
      <c r="I11" s="425">
        <f t="shared" si="12"/>
        <v>60</v>
      </c>
      <c r="J11" s="424">
        <f t="shared" si="6"/>
        <v>31</v>
      </c>
      <c r="K11" s="424">
        <f t="shared" si="7"/>
        <v>91</v>
      </c>
      <c r="L11" s="425">
        <f t="shared" si="13"/>
        <v>60</v>
      </c>
      <c r="M11" s="424">
        <f t="shared" si="9"/>
        <v>31</v>
      </c>
      <c r="N11" s="424">
        <f t="shared" si="10"/>
        <v>91</v>
      </c>
      <c r="O11" s="425">
        <f t="shared" si="14"/>
        <v>60</v>
      </c>
      <c r="P11" s="424"/>
      <c r="Q11" s="426"/>
      <c r="R11" s="427"/>
      <c r="S11" s="417"/>
    </row>
    <row r="12" spans="1:19" x14ac:dyDescent="0.35">
      <c r="A12" s="771"/>
      <c r="B12" s="774"/>
      <c r="C12" s="419" t="s">
        <v>32</v>
      </c>
      <c r="D12" s="420">
        <f t="shared" si="0"/>
        <v>93</v>
      </c>
      <c r="E12" s="421">
        <f t="shared" si="1"/>
        <v>273</v>
      </c>
      <c r="F12" s="422">
        <f t="shared" si="2"/>
        <v>180</v>
      </c>
      <c r="G12" s="423">
        <f t="shared" si="3"/>
        <v>31</v>
      </c>
      <c r="H12" s="424">
        <f t="shared" si="4"/>
        <v>91</v>
      </c>
      <c r="I12" s="425">
        <f t="shared" si="12"/>
        <v>60</v>
      </c>
      <c r="J12" s="424">
        <f t="shared" si="6"/>
        <v>31</v>
      </c>
      <c r="K12" s="424">
        <f t="shared" si="7"/>
        <v>91</v>
      </c>
      <c r="L12" s="425">
        <f t="shared" si="13"/>
        <v>60</v>
      </c>
      <c r="M12" s="424">
        <f t="shared" si="9"/>
        <v>31</v>
      </c>
      <c r="N12" s="424">
        <f t="shared" si="10"/>
        <v>91</v>
      </c>
      <c r="O12" s="425">
        <f t="shared" si="14"/>
        <v>60</v>
      </c>
      <c r="P12" s="424"/>
      <c r="Q12" s="426"/>
      <c r="R12" s="427"/>
      <c r="S12" s="417"/>
    </row>
    <row r="13" spans="1:19" x14ac:dyDescent="0.35">
      <c r="A13" s="771"/>
      <c r="B13" s="774"/>
      <c r="C13" s="419" t="s">
        <v>33</v>
      </c>
      <c r="D13" s="420">
        <f t="shared" si="0"/>
        <v>93</v>
      </c>
      <c r="E13" s="421">
        <f t="shared" si="1"/>
        <v>273</v>
      </c>
      <c r="F13" s="422">
        <f t="shared" si="2"/>
        <v>180</v>
      </c>
      <c r="G13" s="423">
        <f t="shared" si="3"/>
        <v>31</v>
      </c>
      <c r="H13" s="424">
        <f t="shared" si="4"/>
        <v>91</v>
      </c>
      <c r="I13" s="425">
        <f t="shared" si="12"/>
        <v>60</v>
      </c>
      <c r="J13" s="424">
        <f t="shared" si="6"/>
        <v>31</v>
      </c>
      <c r="K13" s="424">
        <f t="shared" si="7"/>
        <v>91</v>
      </c>
      <c r="L13" s="425">
        <f t="shared" si="13"/>
        <v>60</v>
      </c>
      <c r="M13" s="424">
        <f t="shared" si="9"/>
        <v>31</v>
      </c>
      <c r="N13" s="424">
        <f t="shared" si="10"/>
        <v>91</v>
      </c>
      <c r="O13" s="425">
        <f t="shared" si="14"/>
        <v>60</v>
      </c>
      <c r="P13" s="424"/>
      <c r="Q13" s="426"/>
      <c r="R13" s="427"/>
      <c r="S13" s="417"/>
    </row>
    <row r="14" spans="1:19" ht="15" thickBot="1" x14ac:dyDescent="0.4">
      <c r="A14" s="772"/>
      <c r="B14" s="775"/>
      <c r="C14" s="428" t="s">
        <v>34</v>
      </c>
      <c r="D14" s="429">
        <f t="shared" si="0"/>
        <v>93</v>
      </c>
      <c r="E14" s="430">
        <f t="shared" si="1"/>
        <v>273</v>
      </c>
      <c r="F14" s="431">
        <f t="shared" si="2"/>
        <v>180</v>
      </c>
      <c r="G14" s="423">
        <f t="shared" si="3"/>
        <v>31</v>
      </c>
      <c r="H14" s="424">
        <f t="shared" si="4"/>
        <v>91</v>
      </c>
      <c r="I14" s="434">
        <f t="shared" si="5"/>
        <v>60</v>
      </c>
      <c r="J14" s="424">
        <f t="shared" si="6"/>
        <v>31</v>
      </c>
      <c r="K14" s="424">
        <f t="shared" si="7"/>
        <v>91</v>
      </c>
      <c r="L14" s="434">
        <f t="shared" si="8"/>
        <v>60</v>
      </c>
      <c r="M14" s="424">
        <f t="shared" si="9"/>
        <v>31</v>
      </c>
      <c r="N14" s="424">
        <f t="shared" si="10"/>
        <v>91</v>
      </c>
      <c r="O14" s="434">
        <f t="shared" si="11"/>
        <v>60</v>
      </c>
      <c r="P14" s="433"/>
      <c r="Q14" s="435"/>
      <c r="R14" s="436"/>
      <c r="S14" s="417"/>
    </row>
    <row r="15" spans="1:19" x14ac:dyDescent="0.35">
      <c r="A15" s="770" t="s">
        <v>193</v>
      </c>
      <c r="B15" s="773" t="s">
        <v>13</v>
      </c>
      <c r="C15" s="408" t="s">
        <v>25</v>
      </c>
      <c r="D15" s="437">
        <f t="shared" ref="D15:D55" si="15">G15+J15+M15+P15</f>
        <v>0</v>
      </c>
      <c r="E15" s="438">
        <f t="shared" ref="E15:E55" si="16">H15+K15+N15+Q15</f>
        <v>0</v>
      </c>
      <c r="F15" s="439">
        <f t="shared" ref="F15:F64" si="17">I15+L15+O15+R15</f>
        <v>0</v>
      </c>
      <c r="G15" s="440"/>
      <c r="H15" s="441"/>
      <c r="I15" s="442"/>
      <c r="J15" s="441"/>
      <c r="K15" s="441"/>
      <c r="L15" s="442"/>
      <c r="M15" s="441"/>
      <c r="N15" s="441"/>
      <c r="O15" s="442"/>
      <c r="P15" s="441"/>
      <c r="Q15" s="443"/>
      <c r="R15" s="444"/>
      <c r="S15" s="417"/>
    </row>
    <row r="16" spans="1:19" x14ac:dyDescent="0.35">
      <c r="A16" s="771"/>
      <c r="B16" s="774"/>
      <c r="C16" s="419" t="s">
        <v>26</v>
      </c>
      <c r="D16" s="445">
        <f t="shared" si="15"/>
        <v>0</v>
      </c>
      <c r="E16" s="446">
        <f t="shared" si="16"/>
        <v>0</v>
      </c>
      <c r="F16" s="447">
        <f t="shared" si="17"/>
        <v>0</v>
      </c>
      <c r="G16" s="448"/>
      <c r="H16" s="449"/>
      <c r="I16" s="450"/>
      <c r="J16" s="449"/>
      <c r="K16" s="449"/>
      <c r="L16" s="450"/>
      <c r="M16" s="449"/>
      <c r="N16" s="449"/>
      <c r="O16" s="450"/>
      <c r="P16" s="449"/>
      <c r="Q16" s="451"/>
      <c r="R16" s="452"/>
      <c r="S16" s="417"/>
    </row>
    <row r="17" spans="1:19" x14ac:dyDescent="0.35">
      <c r="A17" s="771"/>
      <c r="B17" s="774"/>
      <c r="C17" s="419" t="s">
        <v>27</v>
      </c>
      <c r="D17" s="445">
        <f t="shared" si="15"/>
        <v>0</v>
      </c>
      <c r="E17" s="446">
        <f t="shared" si="16"/>
        <v>0</v>
      </c>
      <c r="F17" s="447">
        <f t="shared" si="17"/>
        <v>0</v>
      </c>
      <c r="G17" s="448"/>
      <c r="H17" s="449"/>
      <c r="I17" s="450"/>
      <c r="J17" s="449"/>
      <c r="K17" s="449"/>
      <c r="L17" s="450"/>
      <c r="M17" s="449"/>
      <c r="N17" s="449"/>
      <c r="O17" s="450"/>
      <c r="P17" s="449"/>
      <c r="Q17" s="451"/>
      <c r="R17" s="452"/>
      <c r="S17" s="417"/>
    </row>
    <row r="18" spans="1:19" x14ac:dyDescent="0.35">
      <c r="A18" s="771"/>
      <c r="B18" s="774"/>
      <c r="C18" s="419" t="s">
        <v>28</v>
      </c>
      <c r="D18" s="445">
        <f t="shared" si="15"/>
        <v>0</v>
      </c>
      <c r="E18" s="446">
        <f t="shared" si="16"/>
        <v>0</v>
      </c>
      <c r="F18" s="447">
        <f t="shared" si="17"/>
        <v>0</v>
      </c>
      <c r="G18" s="448"/>
      <c r="H18" s="449"/>
      <c r="I18" s="450"/>
      <c r="J18" s="449"/>
      <c r="K18" s="449"/>
      <c r="L18" s="450"/>
      <c r="M18" s="449"/>
      <c r="N18" s="449"/>
      <c r="O18" s="450"/>
      <c r="P18" s="449"/>
      <c r="Q18" s="451"/>
      <c r="R18" s="452"/>
      <c r="S18" s="417"/>
    </row>
    <row r="19" spans="1:19" x14ac:dyDescent="0.35">
      <c r="A19" s="771"/>
      <c r="B19" s="774"/>
      <c r="C19" s="419" t="s">
        <v>29</v>
      </c>
      <c r="D19" s="445">
        <f t="shared" si="15"/>
        <v>0</v>
      </c>
      <c r="E19" s="446">
        <f t="shared" si="16"/>
        <v>0</v>
      </c>
      <c r="F19" s="447">
        <f t="shared" si="17"/>
        <v>0</v>
      </c>
      <c r="G19" s="448"/>
      <c r="H19" s="449"/>
      <c r="I19" s="450"/>
      <c r="J19" s="449"/>
      <c r="K19" s="449"/>
      <c r="L19" s="450"/>
      <c r="M19" s="449"/>
      <c r="N19" s="449"/>
      <c r="O19" s="450"/>
      <c r="P19" s="449"/>
      <c r="Q19" s="451"/>
      <c r="R19" s="452"/>
      <c r="S19" s="417"/>
    </row>
    <row r="20" spans="1:19" x14ac:dyDescent="0.35">
      <c r="A20" s="771"/>
      <c r="B20" s="774"/>
      <c r="C20" s="419" t="s">
        <v>30</v>
      </c>
      <c r="D20" s="445">
        <f t="shared" si="15"/>
        <v>0</v>
      </c>
      <c r="E20" s="446">
        <f t="shared" si="16"/>
        <v>0</v>
      </c>
      <c r="F20" s="447">
        <f t="shared" si="17"/>
        <v>0</v>
      </c>
      <c r="G20" s="448"/>
      <c r="H20" s="449"/>
      <c r="I20" s="450"/>
      <c r="J20" s="449"/>
      <c r="K20" s="449"/>
      <c r="L20" s="450"/>
      <c r="M20" s="449"/>
      <c r="N20" s="449"/>
      <c r="O20" s="450"/>
      <c r="P20" s="449"/>
      <c r="Q20" s="451"/>
      <c r="R20" s="452"/>
      <c r="S20" s="417"/>
    </row>
    <row r="21" spans="1:19" x14ac:dyDescent="0.35">
      <c r="A21" s="771"/>
      <c r="B21" s="774"/>
      <c r="C21" s="419" t="s">
        <v>31</v>
      </c>
      <c r="D21" s="445">
        <f t="shared" si="15"/>
        <v>0</v>
      </c>
      <c r="E21" s="446">
        <f t="shared" si="16"/>
        <v>0</v>
      </c>
      <c r="F21" s="447">
        <f t="shared" si="17"/>
        <v>0</v>
      </c>
      <c r="G21" s="448"/>
      <c r="H21" s="449"/>
      <c r="I21" s="450"/>
      <c r="J21" s="449"/>
      <c r="K21" s="449"/>
      <c r="L21" s="450"/>
      <c r="M21" s="449"/>
      <c r="N21" s="449"/>
      <c r="O21" s="450"/>
      <c r="P21" s="449"/>
      <c r="Q21" s="451"/>
      <c r="R21" s="452"/>
      <c r="S21" s="417"/>
    </row>
    <row r="22" spans="1:19" x14ac:dyDescent="0.35">
      <c r="A22" s="771"/>
      <c r="B22" s="774"/>
      <c r="C22" s="419" t="s">
        <v>32</v>
      </c>
      <c r="D22" s="445">
        <f t="shared" si="15"/>
        <v>0</v>
      </c>
      <c r="E22" s="446">
        <f t="shared" si="16"/>
        <v>0</v>
      </c>
      <c r="F22" s="447">
        <f t="shared" si="17"/>
        <v>0</v>
      </c>
      <c r="G22" s="448"/>
      <c r="H22" s="449"/>
      <c r="I22" s="450"/>
      <c r="J22" s="449"/>
      <c r="K22" s="449"/>
      <c r="L22" s="450"/>
      <c r="M22" s="449"/>
      <c r="N22" s="449"/>
      <c r="O22" s="450"/>
      <c r="P22" s="449"/>
      <c r="Q22" s="451"/>
      <c r="R22" s="452"/>
      <c r="S22" s="417"/>
    </row>
    <row r="23" spans="1:19" x14ac:dyDescent="0.35">
      <c r="A23" s="771"/>
      <c r="B23" s="774"/>
      <c r="C23" s="419" t="s">
        <v>33</v>
      </c>
      <c r="D23" s="445">
        <f t="shared" si="15"/>
        <v>0</v>
      </c>
      <c r="E23" s="446">
        <f t="shared" si="16"/>
        <v>0</v>
      </c>
      <c r="F23" s="447">
        <f t="shared" si="17"/>
        <v>0</v>
      </c>
      <c r="G23" s="448"/>
      <c r="H23" s="449"/>
      <c r="I23" s="450"/>
      <c r="J23" s="449"/>
      <c r="K23" s="449"/>
      <c r="L23" s="450"/>
      <c r="M23" s="449"/>
      <c r="N23" s="449"/>
      <c r="O23" s="450"/>
      <c r="P23" s="449"/>
      <c r="Q23" s="451"/>
      <c r="R23" s="452"/>
      <c r="S23" s="417"/>
    </row>
    <row r="24" spans="1:19" ht="15" thickBot="1" x14ac:dyDescent="0.4">
      <c r="A24" s="772"/>
      <c r="B24" s="775"/>
      <c r="C24" s="428" t="s">
        <v>34</v>
      </c>
      <c r="D24" s="453">
        <f t="shared" si="15"/>
        <v>0</v>
      </c>
      <c r="E24" s="454">
        <f t="shared" si="16"/>
        <v>0</v>
      </c>
      <c r="F24" s="455">
        <f t="shared" si="17"/>
        <v>0</v>
      </c>
      <c r="G24" s="456"/>
      <c r="H24" s="457"/>
      <c r="I24" s="458"/>
      <c r="J24" s="457"/>
      <c r="K24" s="457"/>
      <c r="L24" s="458"/>
      <c r="M24" s="457"/>
      <c r="N24" s="457"/>
      <c r="O24" s="458"/>
      <c r="P24" s="457"/>
      <c r="Q24" s="459"/>
      <c r="R24" s="460"/>
      <c r="S24" s="417"/>
    </row>
    <row r="25" spans="1:19" s="462" customFormat="1" ht="14.25" customHeight="1" x14ac:dyDescent="0.35">
      <c r="A25" s="770" t="s">
        <v>42</v>
      </c>
      <c r="B25" s="773" t="s">
        <v>13</v>
      </c>
      <c r="C25" s="408" t="s">
        <v>25</v>
      </c>
      <c r="D25" s="437">
        <f t="shared" si="15"/>
        <v>0</v>
      </c>
      <c r="E25" s="438">
        <f t="shared" si="16"/>
        <v>0</v>
      </c>
      <c r="F25" s="439">
        <f t="shared" si="17"/>
        <v>0</v>
      </c>
      <c r="G25" s="440"/>
      <c r="H25" s="441"/>
      <c r="I25" s="442"/>
      <c r="J25" s="441"/>
      <c r="K25" s="441"/>
      <c r="L25" s="442"/>
      <c r="M25" s="441"/>
      <c r="N25" s="441"/>
      <c r="O25" s="442"/>
      <c r="P25" s="441"/>
      <c r="Q25" s="443"/>
      <c r="R25" s="444"/>
      <c r="S25" s="461"/>
    </row>
    <row r="26" spans="1:19" s="464" customFormat="1" x14ac:dyDescent="0.35">
      <c r="A26" s="771"/>
      <c r="B26" s="774"/>
      <c r="C26" s="419" t="s">
        <v>26</v>
      </c>
      <c r="D26" s="445">
        <f t="shared" si="15"/>
        <v>0</v>
      </c>
      <c r="E26" s="446">
        <f t="shared" si="16"/>
        <v>0</v>
      </c>
      <c r="F26" s="447">
        <f t="shared" si="17"/>
        <v>0</v>
      </c>
      <c r="G26" s="448"/>
      <c r="H26" s="449"/>
      <c r="I26" s="450"/>
      <c r="J26" s="449"/>
      <c r="K26" s="449"/>
      <c r="L26" s="450"/>
      <c r="M26" s="449"/>
      <c r="N26" s="449"/>
      <c r="O26" s="450"/>
      <c r="P26" s="449"/>
      <c r="Q26" s="451"/>
      <c r="R26" s="452"/>
      <c r="S26" s="463"/>
    </row>
    <row r="27" spans="1:19" s="464" customFormat="1" x14ac:dyDescent="0.35">
      <c r="A27" s="771"/>
      <c r="B27" s="774"/>
      <c r="C27" s="419" t="s">
        <v>27</v>
      </c>
      <c r="D27" s="445">
        <f t="shared" si="15"/>
        <v>0</v>
      </c>
      <c r="E27" s="446">
        <f t="shared" si="16"/>
        <v>0</v>
      </c>
      <c r="F27" s="447">
        <f t="shared" si="17"/>
        <v>0</v>
      </c>
      <c r="G27" s="448"/>
      <c r="H27" s="449"/>
      <c r="I27" s="450"/>
      <c r="J27" s="449"/>
      <c r="K27" s="449"/>
      <c r="L27" s="450"/>
      <c r="M27" s="449"/>
      <c r="N27" s="449"/>
      <c r="O27" s="450"/>
      <c r="P27" s="449"/>
      <c r="Q27" s="451"/>
      <c r="R27" s="452"/>
      <c r="S27" s="463"/>
    </row>
    <row r="28" spans="1:19" s="464" customFormat="1" x14ac:dyDescent="0.35">
      <c r="A28" s="771"/>
      <c r="B28" s="774"/>
      <c r="C28" s="419" t="s">
        <v>28</v>
      </c>
      <c r="D28" s="445">
        <f t="shared" si="15"/>
        <v>0</v>
      </c>
      <c r="E28" s="446">
        <f t="shared" si="16"/>
        <v>0</v>
      </c>
      <c r="F28" s="447">
        <f t="shared" si="17"/>
        <v>0</v>
      </c>
      <c r="G28" s="448"/>
      <c r="H28" s="449"/>
      <c r="I28" s="450"/>
      <c r="J28" s="449"/>
      <c r="K28" s="449"/>
      <c r="L28" s="450"/>
      <c r="M28" s="449"/>
      <c r="N28" s="449"/>
      <c r="O28" s="450"/>
      <c r="P28" s="449"/>
      <c r="Q28" s="451"/>
      <c r="R28" s="452"/>
      <c r="S28" s="463"/>
    </row>
    <row r="29" spans="1:19" s="464" customFormat="1" x14ac:dyDescent="0.35">
      <c r="A29" s="771"/>
      <c r="B29" s="774"/>
      <c r="C29" s="419" t="s">
        <v>29</v>
      </c>
      <c r="D29" s="445">
        <f t="shared" si="15"/>
        <v>0</v>
      </c>
      <c r="E29" s="446">
        <f t="shared" si="16"/>
        <v>0</v>
      </c>
      <c r="F29" s="447">
        <f t="shared" si="17"/>
        <v>0</v>
      </c>
      <c r="G29" s="448"/>
      <c r="H29" s="449"/>
      <c r="I29" s="450"/>
      <c r="J29" s="449"/>
      <c r="K29" s="449"/>
      <c r="L29" s="450"/>
      <c r="M29" s="449"/>
      <c r="N29" s="449"/>
      <c r="O29" s="450"/>
      <c r="P29" s="449"/>
      <c r="Q29" s="451"/>
      <c r="R29" s="452"/>
      <c r="S29" s="463"/>
    </row>
    <row r="30" spans="1:19" s="464" customFormat="1" x14ac:dyDescent="0.35">
      <c r="A30" s="771"/>
      <c r="B30" s="774"/>
      <c r="C30" s="419" t="s">
        <v>30</v>
      </c>
      <c r="D30" s="445">
        <f t="shared" si="15"/>
        <v>0</v>
      </c>
      <c r="E30" s="446">
        <f t="shared" si="16"/>
        <v>0</v>
      </c>
      <c r="F30" s="447">
        <f t="shared" si="17"/>
        <v>0</v>
      </c>
      <c r="G30" s="448"/>
      <c r="H30" s="449"/>
      <c r="I30" s="450"/>
      <c r="J30" s="449"/>
      <c r="K30" s="449"/>
      <c r="L30" s="450"/>
      <c r="M30" s="449"/>
      <c r="N30" s="449"/>
      <c r="O30" s="450"/>
      <c r="P30" s="449"/>
      <c r="Q30" s="451"/>
      <c r="R30" s="452"/>
      <c r="S30" s="463"/>
    </row>
    <row r="31" spans="1:19" s="464" customFormat="1" x14ac:dyDescent="0.35">
      <c r="A31" s="771"/>
      <c r="B31" s="774"/>
      <c r="C31" s="419" t="s">
        <v>31</v>
      </c>
      <c r="D31" s="445">
        <f t="shared" si="15"/>
        <v>0</v>
      </c>
      <c r="E31" s="446">
        <f t="shared" si="16"/>
        <v>0</v>
      </c>
      <c r="F31" s="447">
        <f t="shared" si="17"/>
        <v>0</v>
      </c>
      <c r="G31" s="448"/>
      <c r="H31" s="449"/>
      <c r="I31" s="450"/>
      <c r="J31" s="449"/>
      <c r="K31" s="449"/>
      <c r="L31" s="450"/>
      <c r="M31" s="449"/>
      <c r="N31" s="449"/>
      <c r="O31" s="450"/>
      <c r="P31" s="449"/>
      <c r="Q31" s="451"/>
      <c r="R31" s="452"/>
      <c r="S31" s="463"/>
    </row>
    <row r="32" spans="1:19" s="464" customFormat="1" x14ac:dyDescent="0.35">
      <c r="A32" s="771"/>
      <c r="B32" s="774"/>
      <c r="C32" s="419" t="s">
        <v>32</v>
      </c>
      <c r="D32" s="445">
        <f t="shared" si="15"/>
        <v>0</v>
      </c>
      <c r="E32" s="446">
        <f t="shared" si="16"/>
        <v>0</v>
      </c>
      <c r="F32" s="447">
        <f t="shared" si="17"/>
        <v>0</v>
      </c>
      <c r="G32" s="448"/>
      <c r="H32" s="449"/>
      <c r="I32" s="450"/>
      <c r="J32" s="449"/>
      <c r="K32" s="449"/>
      <c r="L32" s="450"/>
      <c r="M32" s="449"/>
      <c r="N32" s="449"/>
      <c r="O32" s="450"/>
      <c r="P32" s="449"/>
      <c r="Q32" s="451"/>
      <c r="R32" s="452"/>
      <c r="S32" s="463"/>
    </row>
    <row r="33" spans="1:19" s="464" customFormat="1" x14ac:dyDescent="0.35">
      <c r="A33" s="771"/>
      <c r="B33" s="774"/>
      <c r="C33" s="419" t="s">
        <v>33</v>
      </c>
      <c r="D33" s="445">
        <f t="shared" si="15"/>
        <v>0</v>
      </c>
      <c r="E33" s="446">
        <f t="shared" si="16"/>
        <v>0</v>
      </c>
      <c r="F33" s="447">
        <f t="shared" si="17"/>
        <v>0</v>
      </c>
      <c r="G33" s="448"/>
      <c r="H33" s="449"/>
      <c r="I33" s="450"/>
      <c r="J33" s="449"/>
      <c r="K33" s="449"/>
      <c r="L33" s="450"/>
      <c r="M33" s="449"/>
      <c r="N33" s="449"/>
      <c r="O33" s="450"/>
      <c r="P33" s="449"/>
      <c r="Q33" s="451"/>
      <c r="R33" s="452"/>
      <c r="S33" s="463"/>
    </row>
    <row r="34" spans="1:19" s="464" customFormat="1" ht="15" thickBot="1" x14ac:dyDescent="0.4">
      <c r="A34" s="772"/>
      <c r="B34" s="775"/>
      <c r="C34" s="428" t="s">
        <v>34</v>
      </c>
      <c r="D34" s="453">
        <f t="shared" si="15"/>
        <v>0</v>
      </c>
      <c r="E34" s="454">
        <f t="shared" si="16"/>
        <v>0</v>
      </c>
      <c r="F34" s="455">
        <f t="shared" si="17"/>
        <v>0</v>
      </c>
      <c r="G34" s="456"/>
      <c r="H34" s="457"/>
      <c r="I34" s="458"/>
      <c r="J34" s="457"/>
      <c r="K34" s="457"/>
      <c r="L34" s="458"/>
      <c r="M34" s="457"/>
      <c r="N34" s="457"/>
      <c r="O34" s="458"/>
      <c r="P34" s="457"/>
      <c r="Q34" s="459"/>
      <c r="R34" s="460"/>
      <c r="S34" s="463"/>
    </row>
    <row r="35" spans="1:19" s="462" customFormat="1" ht="14.5" customHeight="1" x14ac:dyDescent="0.35">
      <c r="A35" s="770" t="s">
        <v>537</v>
      </c>
      <c r="B35" s="773" t="s">
        <v>190</v>
      </c>
      <c r="C35" s="408" t="s">
        <v>25</v>
      </c>
      <c r="D35" s="437">
        <f t="shared" si="15"/>
        <v>104</v>
      </c>
      <c r="E35" s="438">
        <f t="shared" si="16"/>
        <v>104</v>
      </c>
      <c r="F35" s="439">
        <f t="shared" si="17"/>
        <v>0</v>
      </c>
      <c r="G35" s="440">
        <f>5*8</f>
        <v>40</v>
      </c>
      <c r="H35" s="441">
        <f>G35</f>
        <v>40</v>
      </c>
      <c r="I35" s="442">
        <f t="shared" ref="I35:I38" si="18">H35-G35</f>
        <v>0</v>
      </c>
      <c r="J35" s="441">
        <f>4*8</f>
        <v>32</v>
      </c>
      <c r="K35" s="441">
        <f>J35</f>
        <v>32</v>
      </c>
      <c r="L35" s="442">
        <f t="shared" ref="L35:L38" si="19">K35-J35</f>
        <v>0</v>
      </c>
      <c r="M35" s="441">
        <f>8*4</f>
        <v>32</v>
      </c>
      <c r="N35" s="441">
        <f>M35</f>
        <v>32</v>
      </c>
      <c r="O35" s="442">
        <f t="shared" ref="O35:O38" si="20">N35-M35</f>
        <v>0</v>
      </c>
      <c r="P35" s="441"/>
      <c r="Q35" s="443"/>
      <c r="R35" s="444"/>
      <c r="S35" s="461">
        <f>'Analyza citlivosti - AgendovéIS'!N7</f>
        <v>0</v>
      </c>
    </row>
    <row r="36" spans="1:19" s="464" customFormat="1" x14ac:dyDescent="0.35">
      <c r="A36" s="771"/>
      <c r="B36" s="774"/>
      <c r="C36" s="419" t="s">
        <v>26</v>
      </c>
      <c r="D36" s="445">
        <f t="shared" si="15"/>
        <v>136</v>
      </c>
      <c r="E36" s="446">
        <f t="shared" si="16"/>
        <v>1.5</v>
      </c>
      <c r="F36" s="447">
        <f t="shared" si="17"/>
        <v>-134.5</v>
      </c>
      <c r="G36" s="448">
        <f t="shared" ref="G36:G44" si="21">5*8</f>
        <v>40</v>
      </c>
      <c r="H36" s="449">
        <f>0.5</f>
        <v>0.5</v>
      </c>
      <c r="I36" s="450">
        <f t="shared" si="18"/>
        <v>-39.5</v>
      </c>
      <c r="J36" s="449">
        <f>8*8</f>
        <v>64</v>
      </c>
      <c r="K36" s="449">
        <f>0.5</f>
        <v>0.5</v>
      </c>
      <c r="L36" s="450">
        <f t="shared" si="19"/>
        <v>-63.5</v>
      </c>
      <c r="M36" s="449">
        <f t="shared" ref="M36:M44" si="22">8*4</f>
        <v>32</v>
      </c>
      <c r="N36" s="449">
        <f>0.5</f>
        <v>0.5</v>
      </c>
      <c r="O36" s="450">
        <f t="shared" si="20"/>
        <v>-31.5</v>
      </c>
      <c r="P36" s="449"/>
      <c r="Q36" s="451"/>
      <c r="R36" s="452"/>
      <c r="S36" s="463"/>
    </row>
    <row r="37" spans="1:19" s="464" customFormat="1" x14ac:dyDescent="0.35">
      <c r="A37" s="771"/>
      <c r="B37" s="774"/>
      <c r="C37" s="419" t="s">
        <v>27</v>
      </c>
      <c r="D37" s="445">
        <f t="shared" si="15"/>
        <v>136</v>
      </c>
      <c r="E37" s="446">
        <f t="shared" si="16"/>
        <v>1.5</v>
      </c>
      <c r="F37" s="447">
        <f t="shared" si="17"/>
        <v>-134.5</v>
      </c>
      <c r="G37" s="448">
        <f t="shared" si="21"/>
        <v>40</v>
      </c>
      <c r="H37" s="449">
        <f t="shared" ref="H37:H44" si="23">0.5</f>
        <v>0.5</v>
      </c>
      <c r="I37" s="450">
        <f t="shared" si="18"/>
        <v>-39.5</v>
      </c>
      <c r="J37" s="449">
        <f t="shared" ref="J37:J44" si="24">8*8</f>
        <v>64</v>
      </c>
      <c r="K37" s="449">
        <f t="shared" ref="K37:K44" si="25">0.5</f>
        <v>0.5</v>
      </c>
      <c r="L37" s="450">
        <f t="shared" si="19"/>
        <v>-63.5</v>
      </c>
      <c r="M37" s="449">
        <f t="shared" si="22"/>
        <v>32</v>
      </c>
      <c r="N37" s="449">
        <f t="shared" ref="N37:N44" si="26">0.5</f>
        <v>0.5</v>
      </c>
      <c r="O37" s="450">
        <f t="shared" si="20"/>
        <v>-31.5</v>
      </c>
      <c r="P37" s="449"/>
      <c r="Q37" s="451"/>
      <c r="R37" s="452"/>
      <c r="S37" s="463"/>
    </row>
    <row r="38" spans="1:19" s="464" customFormat="1" x14ac:dyDescent="0.35">
      <c r="A38" s="771"/>
      <c r="B38" s="774"/>
      <c r="C38" s="419" t="s">
        <v>28</v>
      </c>
      <c r="D38" s="445">
        <f t="shared" si="15"/>
        <v>136</v>
      </c>
      <c r="E38" s="446">
        <f t="shared" si="16"/>
        <v>1.5</v>
      </c>
      <c r="F38" s="447">
        <f t="shared" si="17"/>
        <v>-134.5</v>
      </c>
      <c r="G38" s="448">
        <f t="shared" si="21"/>
        <v>40</v>
      </c>
      <c r="H38" s="449">
        <f t="shared" si="23"/>
        <v>0.5</v>
      </c>
      <c r="I38" s="450">
        <f t="shared" si="18"/>
        <v>-39.5</v>
      </c>
      <c r="J38" s="449">
        <f t="shared" si="24"/>
        <v>64</v>
      </c>
      <c r="K38" s="449">
        <f t="shared" si="25"/>
        <v>0.5</v>
      </c>
      <c r="L38" s="450">
        <f t="shared" si="19"/>
        <v>-63.5</v>
      </c>
      <c r="M38" s="449">
        <f t="shared" si="22"/>
        <v>32</v>
      </c>
      <c r="N38" s="449">
        <f t="shared" si="26"/>
        <v>0.5</v>
      </c>
      <c r="O38" s="450">
        <f t="shared" si="20"/>
        <v>-31.5</v>
      </c>
      <c r="P38" s="449"/>
      <c r="Q38" s="451"/>
      <c r="R38" s="452"/>
      <c r="S38" s="463"/>
    </row>
    <row r="39" spans="1:19" s="464" customFormat="1" x14ac:dyDescent="0.35">
      <c r="A39" s="771"/>
      <c r="B39" s="774"/>
      <c r="C39" s="419" t="s">
        <v>29</v>
      </c>
      <c r="D39" s="445">
        <f t="shared" si="15"/>
        <v>136</v>
      </c>
      <c r="E39" s="446">
        <f t="shared" si="16"/>
        <v>1.5</v>
      </c>
      <c r="F39" s="447">
        <f t="shared" si="17"/>
        <v>-134.5</v>
      </c>
      <c r="G39" s="448">
        <f t="shared" si="21"/>
        <v>40</v>
      </c>
      <c r="H39" s="449">
        <f t="shared" si="23"/>
        <v>0.5</v>
      </c>
      <c r="I39" s="450">
        <f t="shared" ref="I39:I43" si="27">H39-G39</f>
        <v>-39.5</v>
      </c>
      <c r="J39" s="449">
        <f t="shared" si="24"/>
        <v>64</v>
      </c>
      <c r="K39" s="449">
        <f t="shared" si="25"/>
        <v>0.5</v>
      </c>
      <c r="L39" s="450">
        <f t="shared" ref="L39:L43" si="28">K39-J39</f>
        <v>-63.5</v>
      </c>
      <c r="M39" s="449">
        <f t="shared" si="22"/>
        <v>32</v>
      </c>
      <c r="N39" s="449">
        <f t="shared" si="26"/>
        <v>0.5</v>
      </c>
      <c r="O39" s="450">
        <f t="shared" ref="O39:O43" si="29">N39-M39</f>
        <v>-31.5</v>
      </c>
      <c r="P39" s="449"/>
      <c r="Q39" s="451"/>
      <c r="R39" s="452"/>
      <c r="S39" s="463"/>
    </row>
    <row r="40" spans="1:19" s="464" customFormat="1" x14ac:dyDescent="0.35">
      <c r="A40" s="771"/>
      <c r="B40" s="774"/>
      <c r="C40" s="419" t="s">
        <v>30</v>
      </c>
      <c r="D40" s="445">
        <f t="shared" si="15"/>
        <v>136</v>
      </c>
      <c r="E40" s="446">
        <f t="shared" si="16"/>
        <v>1.5</v>
      </c>
      <c r="F40" s="447">
        <f t="shared" si="17"/>
        <v>-134.5</v>
      </c>
      <c r="G40" s="448">
        <f t="shared" si="21"/>
        <v>40</v>
      </c>
      <c r="H40" s="449">
        <f t="shared" si="23"/>
        <v>0.5</v>
      </c>
      <c r="I40" s="450">
        <f t="shared" si="27"/>
        <v>-39.5</v>
      </c>
      <c r="J40" s="449">
        <f t="shared" si="24"/>
        <v>64</v>
      </c>
      <c r="K40" s="449">
        <f t="shared" si="25"/>
        <v>0.5</v>
      </c>
      <c r="L40" s="450">
        <f t="shared" si="28"/>
        <v>-63.5</v>
      </c>
      <c r="M40" s="449">
        <f t="shared" si="22"/>
        <v>32</v>
      </c>
      <c r="N40" s="449">
        <f t="shared" si="26"/>
        <v>0.5</v>
      </c>
      <c r="O40" s="450">
        <f t="shared" si="29"/>
        <v>-31.5</v>
      </c>
      <c r="P40" s="449"/>
      <c r="Q40" s="451"/>
      <c r="R40" s="452"/>
      <c r="S40" s="463"/>
    </row>
    <row r="41" spans="1:19" s="464" customFormat="1" x14ac:dyDescent="0.35">
      <c r="A41" s="771"/>
      <c r="B41" s="774"/>
      <c r="C41" s="419" t="s">
        <v>31</v>
      </c>
      <c r="D41" s="445">
        <f t="shared" si="15"/>
        <v>136</v>
      </c>
      <c r="E41" s="446">
        <f t="shared" si="16"/>
        <v>1.5</v>
      </c>
      <c r="F41" s="447">
        <f t="shared" si="17"/>
        <v>-134.5</v>
      </c>
      <c r="G41" s="448">
        <f t="shared" si="21"/>
        <v>40</v>
      </c>
      <c r="H41" s="449">
        <f t="shared" si="23"/>
        <v>0.5</v>
      </c>
      <c r="I41" s="450">
        <f t="shared" si="27"/>
        <v>-39.5</v>
      </c>
      <c r="J41" s="449">
        <f t="shared" si="24"/>
        <v>64</v>
      </c>
      <c r="K41" s="449">
        <f t="shared" si="25"/>
        <v>0.5</v>
      </c>
      <c r="L41" s="450">
        <f t="shared" si="28"/>
        <v>-63.5</v>
      </c>
      <c r="M41" s="449">
        <f t="shared" si="22"/>
        <v>32</v>
      </c>
      <c r="N41" s="449">
        <f t="shared" si="26"/>
        <v>0.5</v>
      </c>
      <c r="O41" s="450">
        <f t="shared" si="29"/>
        <v>-31.5</v>
      </c>
      <c r="P41" s="449"/>
      <c r="Q41" s="451"/>
      <c r="R41" s="452"/>
      <c r="S41" s="463"/>
    </row>
    <row r="42" spans="1:19" s="464" customFormat="1" x14ac:dyDescent="0.35">
      <c r="A42" s="771"/>
      <c r="B42" s="774"/>
      <c r="C42" s="419" t="s">
        <v>32</v>
      </c>
      <c r="D42" s="445">
        <f t="shared" si="15"/>
        <v>136</v>
      </c>
      <c r="E42" s="446">
        <f t="shared" si="16"/>
        <v>1.5</v>
      </c>
      <c r="F42" s="447">
        <f t="shared" si="17"/>
        <v>-134.5</v>
      </c>
      <c r="G42" s="448">
        <f t="shared" si="21"/>
        <v>40</v>
      </c>
      <c r="H42" s="449">
        <f t="shared" si="23"/>
        <v>0.5</v>
      </c>
      <c r="I42" s="450">
        <f t="shared" si="27"/>
        <v>-39.5</v>
      </c>
      <c r="J42" s="449">
        <f t="shared" si="24"/>
        <v>64</v>
      </c>
      <c r="K42" s="449">
        <f t="shared" si="25"/>
        <v>0.5</v>
      </c>
      <c r="L42" s="450">
        <f t="shared" si="28"/>
        <v>-63.5</v>
      </c>
      <c r="M42" s="449">
        <f t="shared" si="22"/>
        <v>32</v>
      </c>
      <c r="N42" s="449">
        <f t="shared" si="26"/>
        <v>0.5</v>
      </c>
      <c r="O42" s="450">
        <f t="shared" si="29"/>
        <v>-31.5</v>
      </c>
      <c r="P42" s="449"/>
      <c r="Q42" s="451"/>
      <c r="R42" s="452"/>
      <c r="S42" s="463"/>
    </row>
    <row r="43" spans="1:19" s="464" customFormat="1" x14ac:dyDescent="0.35">
      <c r="A43" s="771"/>
      <c r="B43" s="774"/>
      <c r="C43" s="419" t="s">
        <v>33</v>
      </c>
      <c r="D43" s="445">
        <f t="shared" si="15"/>
        <v>136</v>
      </c>
      <c r="E43" s="446">
        <f t="shared" si="16"/>
        <v>1.5</v>
      </c>
      <c r="F43" s="447">
        <f t="shared" si="17"/>
        <v>-134.5</v>
      </c>
      <c r="G43" s="448">
        <f t="shared" si="21"/>
        <v>40</v>
      </c>
      <c r="H43" s="449">
        <f t="shared" si="23"/>
        <v>0.5</v>
      </c>
      <c r="I43" s="450">
        <f t="shared" si="27"/>
        <v>-39.5</v>
      </c>
      <c r="J43" s="449">
        <f t="shared" si="24"/>
        <v>64</v>
      </c>
      <c r="K43" s="449">
        <f t="shared" si="25"/>
        <v>0.5</v>
      </c>
      <c r="L43" s="450">
        <f t="shared" si="28"/>
        <v>-63.5</v>
      </c>
      <c r="M43" s="449">
        <f t="shared" si="22"/>
        <v>32</v>
      </c>
      <c r="N43" s="449">
        <f t="shared" si="26"/>
        <v>0.5</v>
      </c>
      <c r="O43" s="450">
        <f t="shared" si="29"/>
        <v>-31.5</v>
      </c>
      <c r="P43" s="449"/>
      <c r="Q43" s="451"/>
      <c r="R43" s="452"/>
      <c r="S43" s="463"/>
    </row>
    <row r="44" spans="1:19" s="464" customFormat="1" ht="15" thickBot="1" x14ac:dyDescent="0.4">
      <c r="A44" s="772"/>
      <c r="B44" s="775"/>
      <c r="C44" s="428" t="s">
        <v>34</v>
      </c>
      <c r="D44" s="453">
        <f t="shared" si="15"/>
        <v>136</v>
      </c>
      <c r="E44" s="454">
        <f t="shared" si="16"/>
        <v>1.5</v>
      </c>
      <c r="F44" s="455">
        <f t="shared" si="17"/>
        <v>-134.5</v>
      </c>
      <c r="G44" s="448">
        <f t="shared" si="21"/>
        <v>40</v>
      </c>
      <c r="H44" s="449">
        <f t="shared" si="23"/>
        <v>0.5</v>
      </c>
      <c r="I44" s="450">
        <f t="shared" ref="I44" si="30">H44-G44</f>
        <v>-39.5</v>
      </c>
      <c r="J44" s="449">
        <f t="shared" si="24"/>
        <v>64</v>
      </c>
      <c r="K44" s="449">
        <f t="shared" si="25"/>
        <v>0.5</v>
      </c>
      <c r="L44" s="450">
        <f t="shared" ref="L44" si="31">K44-J44</f>
        <v>-63.5</v>
      </c>
      <c r="M44" s="449">
        <f t="shared" si="22"/>
        <v>32</v>
      </c>
      <c r="N44" s="449">
        <f t="shared" si="26"/>
        <v>0.5</v>
      </c>
      <c r="O44" s="450">
        <f t="shared" ref="O44" si="32">N44-M44</f>
        <v>-31.5</v>
      </c>
      <c r="P44" s="457"/>
      <c r="Q44" s="459"/>
      <c r="R44" s="460"/>
      <c r="S44" s="463"/>
    </row>
    <row r="45" spans="1:19" s="462" customFormat="1" ht="14.5" customHeight="1" x14ac:dyDescent="0.35">
      <c r="A45" s="770" t="s">
        <v>481</v>
      </c>
      <c r="B45" s="773" t="s">
        <v>38</v>
      </c>
      <c r="C45" s="408" t="s">
        <v>25</v>
      </c>
      <c r="D45" s="437">
        <f t="shared" si="15"/>
        <v>0</v>
      </c>
      <c r="E45" s="438">
        <f t="shared" si="16"/>
        <v>0</v>
      </c>
      <c r="F45" s="439">
        <f t="shared" si="17"/>
        <v>0</v>
      </c>
      <c r="G45" s="440"/>
      <c r="H45" s="441"/>
      <c r="I45" s="442"/>
      <c r="J45" s="441"/>
      <c r="K45" s="441"/>
      <c r="L45" s="442"/>
      <c r="M45" s="441"/>
      <c r="N45" s="441"/>
      <c r="O45" s="442"/>
      <c r="P45" s="441">
        <v>0</v>
      </c>
      <c r="Q45" s="443">
        <v>0</v>
      </c>
      <c r="R45" s="444">
        <f t="shared" ref="R45:R53" si="33">Q45-P45</f>
        <v>0</v>
      </c>
      <c r="S45" s="461">
        <f>'Analyza citlivosti - AgendovéIS'!Q7</f>
        <v>0</v>
      </c>
    </row>
    <row r="46" spans="1:19" s="464" customFormat="1" x14ac:dyDescent="0.35">
      <c r="A46" s="771"/>
      <c r="B46" s="774"/>
      <c r="C46" s="419" t="s">
        <v>26</v>
      </c>
      <c r="D46" s="445">
        <f t="shared" si="15"/>
        <v>0</v>
      </c>
      <c r="E46" s="446">
        <f t="shared" si="16"/>
        <v>0</v>
      </c>
      <c r="F46" s="447">
        <f t="shared" si="17"/>
        <v>0</v>
      </c>
      <c r="G46" s="448"/>
      <c r="H46" s="449"/>
      <c r="I46" s="450"/>
      <c r="J46" s="449"/>
      <c r="K46" s="449"/>
      <c r="L46" s="450"/>
      <c r="M46" s="449"/>
      <c r="N46" s="449"/>
      <c r="O46" s="450"/>
      <c r="P46" s="449">
        <v>0</v>
      </c>
      <c r="Q46" s="451">
        <v>0</v>
      </c>
      <c r="R46" s="452">
        <f t="shared" si="33"/>
        <v>0</v>
      </c>
      <c r="S46" s="463"/>
    </row>
    <row r="47" spans="1:19" s="464" customFormat="1" x14ac:dyDescent="0.35">
      <c r="A47" s="771"/>
      <c r="B47" s="774"/>
      <c r="C47" s="419" t="s">
        <v>27</v>
      </c>
      <c r="D47" s="445">
        <f t="shared" si="15"/>
        <v>0</v>
      </c>
      <c r="E47" s="446">
        <f t="shared" si="16"/>
        <v>0</v>
      </c>
      <c r="F47" s="447">
        <f t="shared" si="17"/>
        <v>0</v>
      </c>
      <c r="G47" s="448"/>
      <c r="H47" s="449"/>
      <c r="I47" s="450"/>
      <c r="J47" s="449"/>
      <c r="K47" s="449"/>
      <c r="L47" s="450"/>
      <c r="M47" s="449"/>
      <c r="N47" s="449"/>
      <c r="O47" s="450"/>
      <c r="P47" s="449">
        <v>0</v>
      </c>
      <c r="Q47" s="451">
        <v>0</v>
      </c>
      <c r="R47" s="452">
        <f t="shared" si="33"/>
        <v>0</v>
      </c>
      <c r="S47" s="463"/>
    </row>
    <row r="48" spans="1:19" s="464" customFormat="1" x14ac:dyDescent="0.35">
      <c r="A48" s="771"/>
      <c r="B48" s="774"/>
      <c r="C48" s="419" t="s">
        <v>28</v>
      </c>
      <c r="D48" s="445">
        <f t="shared" si="15"/>
        <v>0</v>
      </c>
      <c r="E48" s="446">
        <f t="shared" si="16"/>
        <v>0</v>
      </c>
      <c r="F48" s="447">
        <f t="shared" si="17"/>
        <v>0</v>
      </c>
      <c r="G48" s="448"/>
      <c r="H48" s="449"/>
      <c r="I48" s="450"/>
      <c r="J48" s="449"/>
      <c r="K48" s="449"/>
      <c r="L48" s="450"/>
      <c r="M48" s="449"/>
      <c r="N48" s="449"/>
      <c r="O48" s="450"/>
      <c r="P48" s="449">
        <v>0</v>
      </c>
      <c r="Q48" s="451">
        <v>0</v>
      </c>
      <c r="R48" s="452">
        <f t="shared" si="33"/>
        <v>0</v>
      </c>
      <c r="S48" s="463"/>
    </row>
    <row r="49" spans="1:19" s="464" customFormat="1" x14ac:dyDescent="0.35">
      <c r="A49" s="771"/>
      <c r="B49" s="774"/>
      <c r="C49" s="419" t="s">
        <v>29</v>
      </c>
      <c r="D49" s="445">
        <f t="shared" si="15"/>
        <v>0</v>
      </c>
      <c r="E49" s="446">
        <f t="shared" si="16"/>
        <v>0</v>
      </c>
      <c r="F49" s="447">
        <f t="shared" si="17"/>
        <v>0</v>
      </c>
      <c r="G49" s="448"/>
      <c r="H49" s="449"/>
      <c r="I49" s="450"/>
      <c r="J49" s="449"/>
      <c r="K49" s="449"/>
      <c r="L49" s="450"/>
      <c r="M49" s="449"/>
      <c r="N49" s="449"/>
      <c r="O49" s="450"/>
      <c r="P49" s="449">
        <v>0</v>
      </c>
      <c r="Q49" s="451">
        <v>0</v>
      </c>
      <c r="R49" s="452">
        <f t="shared" si="33"/>
        <v>0</v>
      </c>
      <c r="S49" s="463"/>
    </row>
    <row r="50" spans="1:19" s="464" customFormat="1" x14ac:dyDescent="0.35">
      <c r="A50" s="771"/>
      <c r="B50" s="774"/>
      <c r="C50" s="419" t="s">
        <v>30</v>
      </c>
      <c r="D50" s="445">
        <f t="shared" si="15"/>
        <v>0</v>
      </c>
      <c r="E50" s="446">
        <f t="shared" si="16"/>
        <v>0</v>
      </c>
      <c r="F50" s="447">
        <f t="shared" si="17"/>
        <v>0</v>
      </c>
      <c r="G50" s="448"/>
      <c r="H50" s="449"/>
      <c r="I50" s="450"/>
      <c r="J50" s="449"/>
      <c r="K50" s="449"/>
      <c r="L50" s="450"/>
      <c r="M50" s="449"/>
      <c r="N50" s="449"/>
      <c r="O50" s="450"/>
      <c r="P50" s="449">
        <v>0</v>
      </c>
      <c r="Q50" s="451">
        <v>0</v>
      </c>
      <c r="R50" s="452">
        <f t="shared" si="33"/>
        <v>0</v>
      </c>
      <c r="S50" s="463"/>
    </row>
    <row r="51" spans="1:19" s="464" customFormat="1" x14ac:dyDescent="0.35">
      <c r="A51" s="771"/>
      <c r="B51" s="774"/>
      <c r="C51" s="419" t="s">
        <v>31</v>
      </c>
      <c r="D51" s="445">
        <f t="shared" si="15"/>
        <v>0</v>
      </c>
      <c r="E51" s="446">
        <f t="shared" si="16"/>
        <v>0</v>
      </c>
      <c r="F51" s="447">
        <f t="shared" si="17"/>
        <v>0</v>
      </c>
      <c r="G51" s="448"/>
      <c r="H51" s="449"/>
      <c r="I51" s="450"/>
      <c r="J51" s="449"/>
      <c r="K51" s="449"/>
      <c r="L51" s="450"/>
      <c r="M51" s="449"/>
      <c r="N51" s="449"/>
      <c r="O51" s="450"/>
      <c r="P51" s="449">
        <v>0</v>
      </c>
      <c r="Q51" s="451">
        <v>0</v>
      </c>
      <c r="R51" s="452">
        <f t="shared" si="33"/>
        <v>0</v>
      </c>
      <c r="S51" s="463"/>
    </row>
    <row r="52" spans="1:19" s="464" customFormat="1" x14ac:dyDescent="0.35">
      <c r="A52" s="771"/>
      <c r="B52" s="774"/>
      <c r="C52" s="419" t="s">
        <v>32</v>
      </c>
      <c r="D52" s="445">
        <f t="shared" si="15"/>
        <v>0</v>
      </c>
      <c r="E52" s="446">
        <f t="shared" si="16"/>
        <v>0</v>
      </c>
      <c r="F52" s="447">
        <f t="shared" si="17"/>
        <v>0</v>
      </c>
      <c r="G52" s="448"/>
      <c r="H52" s="449"/>
      <c r="I52" s="450"/>
      <c r="J52" s="449"/>
      <c r="K52" s="449"/>
      <c r="L52" s="450"/>
      <c r="M52" s="449"/>
      <c r="N52" s="449"/>
      <c r="O52" s="450"/>
      <c r="P52" s="449">
        <v>0</v>
      </c>
      <c r="Q52" s="451">
        <v>0</v>
      </c>
      <c r="R52" s="452">
        <f t="shared" si="33"/>
        <v>0</v>
      </c>
      <c r="S52" s="463"/>
    </row>
    <row r="53" spans="1:19" s="464" customFormat="1" x14ac:dyDescent="0.35">
      <c r="A53" s="771"/>
      <c r="B53" s="774"/>
      <c r="C53" s="419" t="s">
        <v>33</v>
      </c>
      <c r="D53" s="445">
        <f t="shared" si="15"/>
        <v>0</v>
      </c>
      <c r="E53" s="446">
        <f t="shared" si="16"/>
        <v>0</v>
      </c>
      <c r="F53" s="447">
        <f t="shared" si="17"/>
        <v>0</v>
      </c>
      <c r="G53" s="448"/>
      <c r="H53" s="449"/>
      <c r="I53" s="450"/>
      <c r="J53" s="449"/>
      <c r="K53" s="449"/>
      <c r="L53" s="450"/>
      <c r="M53" s="449"/>
      <c r="N53" s="449"/>
      <c r="O53" s="450"/>
      <c r="P53" s="449">
        <v>0</v>
      </c>
      <c r="Q53" s="451">
        <v>0</v>
      </c>
      <c r="R53" s="452">
        <f t="shared" si="33"/>
        <v>0</v>
      </c>
      <c r="S53" s="463"/>
    </row>
    <row r="54" spans="1:19" s="464" customFormat="1" ht="15" thickBot="1" x14ac:dyDescent="0.4">
      <c r="A54" s="772"/>
      <c r="B54" s="775"/>
      <c r="C54" s="428" t="s">
        <v>34</v>
      </c>
      <c r="D54" s="453">
        <f t="shared" si="15"/>
        <v>0</v>
      </c>
      <c r="E54" s="454">
        <f t="shared" si="16"/>
        <v>0</v>
      </c>
      <c r="F54" s="455">
        <f t="shared" si="17"/>
        <v>0</v>
      </c>
      <c r="G54" s="448"/>
      <c r="H54" s="449"/>
      <c r="I54" s="450"/>
      <c r="J54" s="449"/>
      <c r="K54" s="449"/>
      <c r="L54" s="450"/>
      <c r="M54" s="449"/>
      <c r="N54" s="449"/>
      <c r="O54" s="450"/>
      <c r="P54" s="457">
        <v>0</v>
      </c>
      <c r="Q54" s="459">
        <v>0</v>
      </c>
      <c r="R54" s="460">
        <f>Q54-P54</f>
        <v>0</v>
      </c>
      <c r="S54" s="463"/>
    </row>
    <row r="55" spans="1:19" s="462" customFormat="1" ht="14.25" customHeight="1" x14ac:dyDescent="0.35">
      <c r="A55" s="771" t="s">
        <v>39</v>
      </c>
      <c r="B55" s="774" t="s">
        <v>13</v>
      </c>
      <c r="C55" s="419" t="s">
        <v>25</v>
      </c>
      <c r="D55" s="409">
        <f t="shared" si="15"/>
        <v>0</v>
      </c>
      <c r="E55" s="410">
        <f t="shared" si="16"/>
        <v>0</v>
      </c>
      <c r="F55" s="411">
        <f t="shared" si="17"/>
        <v>0</v>
      </c>
      <c r="G55" s="412"/>
      <c r="H55" s="413"/>
      <c r="I55" s="414">
        <f t="shared" ref="I55:I64" si="34">H55-G55</f>
        <v>0</v>
      </c>
      <c r="J55" s="413"/>
      <c r="K55" s="413"/>
      <c r="L55" s="414">
        <f t="shared" ref="L55:L64" si="35">K55-J55</f>
        <v>0</v>
      </c>
      <c r="M55" s="413"/>
      <c r="N55" s="413"/>
      <c r="O55" s="414">
        <f t="shared" ref="O55" si="36">N55-M55</f>
        <v>0</v>
      </c>
      <c r="P55" s="413"/>
      <c r="Q55" s="415"/>
      <c r="R55" s="416">
        <f t="shared" ref="R55:R64" si="37">Q55-P55</f>
        <v>0</v>
      </c>
      <c r="S55" s="461"/>
    </row>
    <row r="56" spans="1:19" s="464" customFormat="1" x14ac:dyDescent="0.35">
      <c r="A56" s="771"/>
      <c r="B56" s="774"/>
      <c r="C56" s="419" t="s">
        <v>26</v>
      </c>
      <c r="D56" s="420">
        <f t="shared" ref="D56:D64" si="38">G56+J56+M56+P56</f>
        <v>0</v>
      </c>
      <c r="E56" s="421">
        <f t="shared" ref="E56:E64" si="39">H56+K56+N56+Q56</f>
        <v>204342.32946000004</v>
      </c>
      <c r="F56" s="422">
        <f t="shared" si="17"/>
        <v>204342.32946000004</v>
      </c>
      <c r="G56" s="423"/>
      <c r="H56" s="424"/>
      <c r="I56" s="425">
        <f t="shared" si="34"/>
        <v>0</v>
      </c>
      <c r="J56" s="424"/>
      <c r="K56" s="692"/>
      <c r="L56" s="425">
        <f t="shared" si="35"/>
        <v>0</v>
      </c>
      <c r="M56" s="692"/>
      <c r="N56" s="692">
        <f>0.01*Faktory!$D$16</f>
        <v>204342.32946000004</v>
      </c>
      <c r="O56" s="425">
        <f t="shared" ref="O56:O64" si="40">N56-M56</f>
        <v>204342.32946000004</v>
      </c>
      <c r="P56" s="424"/>
      <c r="Q56" s="426"/>
      <c r="R56" s="427">
        <f t="shared" si="37"/>
        <v>0</v>
      </c>
      <c r="S56" s="463"/>
    </row>
    <row r="57" spans="1:19" s="464" customFormat="1" x14ac:dyDescent="0.35">
      <c r="A57" s="771"/>
      <c r="B57" s="774"/>
      <c r="C57" s="419" t="s">
        <v>27</v>
      </c>
      <c r="D57" s="420">
        <f t="shared" si="38"/>
        <v>0</v>
      </c>
      <c r="E57" s="421">
        <f t="shared" si="39"/>
        <v>306513.49419</v>
      </c>
      <c r="F57" s="422">
        <f t="shared" si="17"/>
        <v>306513.49419</v>
      </c>
      <c r="G57" s="423"/>
      <c r="H57" s="424"/>
      <c r="I57" s="425">
        <f t="shared" si="34"/>
        <v>0</v>
      </c>
      <c r="J57" s="424"/>
      <c r="K57" s="692"/>
      <c r="L57" s="425">
        <f t="shared" si="35"/>
        <v>0</v>
      </c>
      <c r="M57" s="692"/>
      <c r="N57" s="692">
        <f>0.015*Faktory!$D$16</f>
        <v>306513.49419</v>
      </c>
      <c r="O57" s="425">
        <f t="shared" si="40"/>
        <v>306513.49419</v>
      </c>
      <c r="P57" s="424"/>
      <c r="Q57" s="426"/>
      <c r="R57" s="427">
        <f t="shared" si="37"/>
        <v>0</v>
      </c>
      <c r="S57" s="463"/>
    </row>
    <row r="58" spans="1:19" s="464" customFormat="1" x14ac:dyDescent="0.35">
      <c r="A58" s="771"/>
      <c r="B58" s="774"/>
      <c r="C58" s="419" t="s">
        <v>28</v>
      </c>
      <c r="D58" s="420">
        <f t="shared" si="38"/>
        <v>0</v>
      </c>
      <c r="E58" s="421">
        <f t="shared" si="39"/>
        <v>817369.31784000015</v>
      </c>
      <c r="F58" s="422">
        <f t="shared" si="17"/>
        <v>817369.31784000015</v>
      </c>
      <c r="G58" s="423"/>
      <c r="H58" s="424"/>
      <c r="I58" s="425">
        <f t="shared" si="34"/>
        <v>0</v>
      </c>
      <c r="J58" s="424"/>
      <c r="K58" s="692"/>
      <c r="L58" s="425">
        <f t="shared" si="35"/>
        <v>0</v>
      </c>
      <c r="M58" s="692"/>
      <c r="N58" s="692">
        <f>0.04*Faktory!$D$16</f>
        <v>817369.31784000015</v>
      </c>
      <c r="O58" s="425">
        <f t="shared" si="40"/>
        <v>817369.31784000015</v>
      </c>
      <c r="P58" s="424"/>
      <c r="Q58" s="426"/>
      <c r="R58" s="427">
        <f t="shared" si="37"/>
        <v>0</v>
      </c>
      <c r="S58" s="463"/>
    </row>
    <row r="59" spans="1:19" s="464" customFormat="1" x14ac:dyDescent="0.35">
      <c r="A59" s="771"/>
      <c r="B59" s="774"/>
      <c r="C59" s="419" t="s">
        <v>29</v>
      </c>
      <c r="D59" s="420">
        <f t="shared" si="38"/>
        <v>0</v>
      </c>
      <c r="E59" s="421">
        <f t="shared" si="39"/>
        <v>2043423.2946000004</v>
      </c>
      <c r="F59" s="422">
        <f t="shared" si="17"/>
        <v>2043423.2946000004</v>
      </c>
      <c r="G59" s="423"/>
      <c r="H59" s="424"/>
      <c r="I59" s="425">
        <f t="shared" si="34"/>
        <v>0</v>
      </c>
      <c r="J59" s="424"/>
      <c r="K59" s="692"/>
      <c r="L59" s="425">
        <f t="shared" si="35"/>
        <v>0</v>
      </c>
      <c r="M59" s="692"/>
      <c r="N59" s="692">
        <f>0.1*Faktory!$D$16</f>
        <v>2043423.2946000004</v>
      </c>
      <c r="O59" s="425">
        <f t="shared" si="40"/>
        <v>2043423.2946000004</v>
      </c>
      <c r="P59" s="424"/>
      <c r="Q59" s="426"/>
      <c r="R59" s="427">
        <f t="shared" si="37"/>
        <v>0</v>
      </c>
      <c r="S59" s="463"/>
    </row>
    <row r="60" spans="1:19" s="464" customFormat="1" x14ac:dyDescent="0.35">
      <c r="A60" s="771"/>
      <c r="B60" s="774"/>
      <c r="C60" s="419" t="s">
        <v>30</v>
      </c>
      <c r="D60" s="420">
        <f t="shared" si="38"/>
        <v>0</v>
      </c>
      <c r="E60" s="421">
        <f t="shared" si="39"/>
        <v>2452107.95352</v>
      </c>
      <c r="F60" s="422">
        <f t="shared" si="17"/>
        <v>2452107.95352</v>
      </c>
      <c r="G60" s="423"/>
      <c r="H60" s="424"/>
      <c r="I60" s="425">
        <f t="shared" si="34"/>
        <v>0</v>
      </c>
      <c r="J60" s="424"/>
      <c r="K60" s="692"/>
      <c r="L60" s="425">
        <f t="shared" si="35"/>
        <v>0</v>
      </c>
      <c r="M60" s="692"/>
      <c r="N60" s="692">
        <f>0.12*Faktory!$D$16</f>
        <v>2452107.95352</v>
      </c>
      <c r="O60" s="425">
        <f t="shared" si="40"/>
        <v>2452107.95352</v>
      </c>
      <c r="P60" s="424"/>
      <c r="Q60" s="426"/>
      <c r="R60" s="427">
        <f t="shared" si="37"/>
        <v>0</v>
      </c>
      <c r="S60" s="463"/>
    </row>
    <row r="61" spans="1:19" s="464" customFormat="1" x14ac:dyDescent="0.35">
      <c r="A61" s="771"/>
      <c r="B61" s="774"/>
      <c r="C61" s="419" t="s">
        <v>31</v>
      </c>
      <c r="D61" s="420">
        <f t="shared" si="38"/>
        <v>0</v>
      </c>
      <c r="E61" s="421">
        <f t="shared" si="39"/>
        <v>3065134.9419000004</v>
      </c>
      <c r="F61" s="422">
        <f t="shared" si="17"/>
        <v>3065134.9419000004</v>
      </c>
      <c r="G61" s="423"/>
      <c r="H61" s="424"/>
      <c r="I61" s="425">
        <f t="shared" si="34"/>
        <v>0</v>
      </c>
      <c r="J61" s="424"/>
      <c r="K61" s="692"/>
      <c r="L61" s="425">
        <f t="shared" si="35"/>
        <v>0</v>
      </c>
      <c r="M61" s="692"/>
      <c r="N61" s="692">
        <f>0.15*Faktory!$D$16</f>
        <v>3065134.9419000004</v>
      </c>
      <c r="O61" s="425">
        <f t="shared" si="40"/>
        <v>3065134.9419000004</v>
      </c>
      <c r="P61" s="424"/>
      <c r="Q61" s="426"/>
      <c r="R61" s="427">
        <f t="shared" si="37"/>
        <v>0</v>
      </c>
      <c r="S61" s="463"/>
    </row>
    <row r="62" spans="1:19" s="464" customFormat="1" x14ac:dyDescent="0.35">
      <c r="A62" s="771"/>
      <c r="B62" s="774"/>
      <c r="C62" s="419" t="s">
        <v>32</v>
      </c>
      <c r="D62" s="420">
        <f t="shared" si="38"/>
        <v>0</v>
      </c>
      <c r="E62" s="421">
        <f t="shared" si="39"/>
        <v>3167306.1066300003</v>
      </c>
      <c r="F62" s="422">
        <f t="shared" si="17"/>
        <v>3167306.1066300003</v>
      </c>
      <c r="G62" s="423"/>
      <c r="H62" s="424"/>
      <c r="I62" s="425">
        <f t="shared" si="34"/>
        <v>0</v>
      </c>
      <c r="J62" s="424"/>
      <c r="K62" s="692"/>
      <c r="L62" s="425">
        <f t="shared" si="35"/>
        <v>0</v>
      </c>
      <c r="M62" s="692"/>
      <c r="N62" s="692">
        <f>0.155*Faktory!$D$16</f>
        <v>3167306.1066300003</v>
      </c>
      <c r="O62" s="425">
        <f t="shared" si="40"/>
        <v>3167306.1066300003</v>
      </c>
      <c r="P62" s="424"/>
      <c r="Q62" s="426"/>
      <c r="R62" s="427">
        <f t="shared" si="37"/>
        <v>0</v>
      </c>
      <c r="S62" s="463"/>
    </row>
    <row r="63" spans="1:19" s="464" customFormat="1" x14ac:dyDescent="0.35">
      <c r="A63" s="771"/>
      <c r="B63" s="774"/>
      <c r="C63" s="419" t="s">
        <v>33</v>
      </c>
      <c r="D63" s="420">
        <f t="shared" si="38"/>
        <v>0</v>
      </c>
      <c r="E63" s="421">
        <f t="shared" si="39"/>
        <v>4086846.5892000007</v>
      </c>
      <c r="F63" s="422">
        <f t="shared" si="17"/>
        <v>4086846.5892000007</v>
      </c>
      <c r="G63" s="423"/>
      <c r="H63" s="424"/>
      <c r="I63" s="425">
        <f t="shared" si="34"/>
        <v>0</v>
      </c>
      <c r="J63" s="424"/>
      <c r="K63" s="692"/>
      <c r="L63" s="425">
        <f t="shared" si="35"/>
        <v>0</v>
      </c>
      <c r="M63" s="692"/>
      <c r="N63" s="692">
        <f>0.2*Faktory!$D$16</f>
        <v>4086846.5892000007</v>
      </c>
      <c r="O63" s="425">
        <f t="shared" si="40"/>
        <v>4086846.5892000007</v>
      </c>
      <c r="P63" s="424"/>
      <c r="Q63" s="426"/>
      <c r="R63" s="427">
        <f t="shared" si="37"/>
        <v>0</v>
      </c>
      <c r="S63" s="463"/>
    </row>
    <row r="64" spans="1:19" s="466" customFormat="1" ht="15" thickBot="1" x14ac:dyDescent="0.4">
      <c r="A64" s="772"/>
      <c r="B64" s="775"/>
      <c r="C64" s="428" t="s">
        <v>34</v>
      </c>
      <c r="D64" s="429">
        <f t="shared" si="38"/>
        <v>0</v>
      </c>
      <c r="E64" s="430">
        <f t="shared" si="39"/>
        <v>4291188.91866</v>
      </c>
      <c r="F64" s="431">
        <f t="shared" si="17"/>
        <v>4291188.91866</v>
      </c>
      <c r="G64" s="432"/>
      <c r="H64" s="433"/>
      <c r="I64" s="434">
        <f t="shared" si="34"/>
        <v>0</v>
      </c>
      <c r="J64" s="433"/>
      <c r="K64" s="692"/>
      <c r="L64" s="434">
        <f t="shared" si="35"/>
        <v>0</v>
      </c>
      <c r="M64" s="692"/>
      <c r="N64" s="692">
        <f>0.21*Faktory!$D$16</f>
        <v>4291188.91866</v>
      </c>
      <c r="O64" s="434">
        <f t="shared" si="40"/>
        <v>4291188.91866</v>
      </c>
      <c r="P64" s="433"/>
      <c r="Q64" s="435"/>
      <c r="R64" s="436">
        <f t="shared" si="37"/>
        <v>0</v>
      </c>
      <c r="S64" s="465"/>
    </row>
    <row r="65" spans="1:19" s="464" customFormat="1" ht="15" thickBot="1" x14ac:dyDescent="0.4">
      <c r="A65" s="467"/>
      <c r="B65" s="468"/>
      <c r="C65" s="469"/>
      <c r="D65" s="468"/>
      <c r="E65" s="468"/>
      <c r="F65" s="470" t="s">
        <v>107</v>
      </c>
      <c r="G65" s="471"/>
      <c r="H65" s="471"/>
      <c r="I65" s="472"/>
      <c r="J65" s="471"/>
      <c r="K65" s="471"/>
      <c r="L65" s="472"/>
      <c r="M65" s="471"/>
      <c r="N65" s="471"/>
      <c r="O65" s="472"/>
      <c r="P65" s="471"/>
      <c r="Q65" s="473"/>
      <c r="R65" s="474"/>
      <c r="S65" s="463"/>
    </row>
    <row r="66" spans="1:19" s="464" customFormat="1" x14ac:dyDescent="0.35">
      <c r="A66" s="766" t="s">
        <v>322</v>
      </c>
      <c r="B66" s="768" t="s">
        <v>37</v>
      </c>
      <c r="C66" s="475" t="s">
        <v>25</v>
      </c>
      <c r="D66" s="476">
        <f t="shared" ref="D66:D105" si="41">G66+J66+M66+P66</f>
        <v>93</v>
      </c>
      <c r="E66" s="477">
        <f t="shared" ref="E66:E105" si="42">H66+K66+N66+Q66</f>
        <v>93</v>
      </c>
      <c r="F66" s="478">
        <f t="shared" ref="F66:F105" si="43">I66+L66+O66+R66</f>
        <v>0</v>
      </c>
      <c r="G66" s="479">
        <f t="shared" ref="G66:G75" si="44">G5</f>
        <v>31</v>
      </c>
      <c r="H66" s="480">
        <f t="shared" ref="H66:H75" si="45">H5*(1+$S$66)</f>
        <v>31</v>
      </c>
      <c r="I66" s="481">
        <f>H66-G66</f>
        <v>0</v>
      </c>
      <c r="J66" s="480">
        <f t="shared" ref="J66:J75" si="46">J5</f>
        <v>31</v>
      </c>
      <c r="K66" s="480">
        <f t="shared" ref="K66:K75" si="47">K5*(1+$S$66)</f>
        <v>31</v>
      </c>
      <c r="L66" s="481">
        <f t="shared" ref="L66:L75" si="48">K66-J66</f>
        <v>0</v>
      </c>
      <c r="M66" s="480">
        <f t="shared" ref="M66:M75" si="49">M5</f>
        <v>31</v>
      </c>
      <c r="N66" s="480">
        <f t="shared" ref="N66:N75" si="50">N5*(1+$S$66)</f>
        <v>31</v>
      </c>
      <c r="O66" s="481">
        <f t="shared" ref="O66:O75" si="51">N66-M66</f>
        <v>0</v>
      </c>
      <c r="P66" s="480">
        <f t="shared" ref="P66:P75" si="52">P5</f>
        <v>0</v>
      </c>
      <c r="Q66" s="482">
        <f t="shared" ref="Q66:Q75" si="53">Q5*(1+$S$66)</f>
        <v>0</v>
      </c>
      <c r="R66" s="483">
        <f t="shared" ref="R66:R75" si="54">Q66-P66</f>
        <v>0</v>
      </c>
      <c r="S66" s="484">
        <f>'Analyza citlivosti - AgendovéIS'!K7</f>
        <v>0</v>
      </c>
    </row>
    <row r="67" spans="1:19" s="464" customFormat="1" x14ac:dyDescent="0.35">
      <c r="A67" s="766"/>
      <c r="B67" s="768"/>
      <c r="C67" s="475" t="s">
        <v>26</v>
      </c>
      <c r="D67" s="476">
        <f t="shared" si="41"/>
        <v>93</v>
      </c>
      <c r="E67" s="477">
        <f t="shared" si="42"/>
        <v>273</v>
      </c>
      <c r="F67" s="478">
        <f t="shared" si="43"/>
        <v>180</v>
      </c>
      <c r="G67" s="485">
        <f t="shared" si="44"/>
        <v>31</v>
      </c>
      <c r="H67" s="486">
        <f t="shared" si="45"/>
        <v>91</v>
      </c>
      <c r="I67" s="425">
        <f t="shared" ref="I67:I75" si="55">H67-G67</f>
        <v>60</v>
      </c>
      <c r="J67" s="486">
        <f t="shared" si="46"/>
        <v>31</v>
      </c>
      <c r="K67" s="486">
        <f t="shared" si="47"/>
        <v>91</v>
      </c>
      <c r="L67" s="425">
        <f t="shared" si="48"/>
        <v>60</v>
      </c>
      <c r="M67" s="486">
        <f t="shared" si="49"/>
        <v>31</v>
      </c>
      <c r="N67" s="486">
        <f t="shared" si="50"/>
        <v>91</v>
      </c>
      <c r="O67" s="425">
        <f t="shared" si="51"/>
        <v>60</v>
      </c>
      <c r="P67" s="486">
        <f t="shared" si="52"/>
        <v>0</v>
      </c>
      <c r="Q67" s="487">
        <f t="shared" si="53"/>
        <v>0</v>
      </c>
      <c r="R67" s="427">
        <f t="shared" si="54"/>
        <v>0</v>
      </c>
      <c r="S67" s="463"/>
    </row>
    <row r="68" spans="1:19" s="464" customFormat="1" x14ac:dyDescent="0.35">
      <c r="A68" s="766"/>
      <c r="B68" s="768"/>
      <c r="C68" s="475" t="s">
        <v>27</v>
      </c>
      <c r="D68" s="476">
        <f t="shared" si="41"/>
        <v>93</v>
      </c>
      <c r="E68" s="477">
        <f t="shared" si="42"/>
        <v>273</v>
      </c>
      <c r="F68" s="478">
        <f t="shared" si="43"/>
        <v>180</v>
      </c>
      <c r="G68" s="485">
        <f t="shared" si="44"/>
        <v>31</v>
      </c>
      <c r="H68" s="486">
        <f t="shared" si="45"/>
        <v>91</v>
      </c>
      <c r="I68" s="425">
        <f t="shared" si="55"/>
        <v>60</v>
      </c>
      <c r="J68" s="486">
        <f t="shared" si="46"/>
        <v>31</v>
      </c>
      <c r="K68" s="486">
        <f t="shared" si="47"/>
        <v>91</v>
      </c>
      <c r="L68" s="425">
        <f t="shared" si="48"/>
        <v>60</v>
      </c>
      <c r="M68" s="486">
        <f t="shared" si="49"/>
        <v>31</v>
      </c>
      <c r="N68" s="486">
        <f t="shared" si="50"/>
        <v>91</v>
      </c>
      <c r="O68" s="425">
        <f t="shared" si="51"/>
        <v>60</v>
      </c>
      <c r="P68" s="486">
        <f t="shared" si="52"/>
        <v>0</v>
      </c>
      <c r="Q68" s="487">
        <f t="shared" si="53"/>
        <v>0</v>
      </c>
      <c r="R68" s="427">
        <f t="shared" si="54"/>
        <v>0</v>
      </c>
      <c r="S68" s="463"/>
    </row>
    <row r="69" spans="1:19" s="464" customFormat="1" x14ac:dyDescent="0.35">
      <c r="A69" s="766"/>
      <c r="B69" s="768"/>
      <c r="C69" s="475" t="s">
        <v>28</v>
      </c>
      <c r="D69" s="476">
        <f t="shared" si="41"/>
        <v>93</v>
      </c>
      <c r="E69" s="477">
        <f t="shared" si="42"/>
        <v>273</v>
      </c>
      <c r="F69" s="478">
        <f t="shared" si="43"/>
        <v>180</v>
      </c>
      <c r="G69" s="485">
        <f t="shared" si="44"/>
        <v>31</v>
      </c>
      <c r="H69" s="486">
        <f t="shared" si="45"/>
        <v>91</v>
      </c>
      <c r="I69" s="425">
        <f t="shared" si="55"/>
        <v>60</v>
      </c>
      <c r="J69" s="486">
        <f t="shared" si="46"/>
        <v>31</v>
      </c>
      <c r="K69" s="486">
        <f t="shared" si="47"/>
        <v>91</v>
      </c>
      <c r="L69" s="425">
        <f t="shared" si="48"/>
        <v>60</v>
      </c>
      <c r="M69" s="486">
        <f t="shared" si="49"/>
        <v>31</v>
      </c>
      <c r="N69" s="486">
        <f t="shared" si="50"/>
        <v>91</v>
      </c>
      <c r="O69" s="425">
        <f t="shared" si="51"/>
        <v>60</v>
      </c>
      <c r="P69" s="486">
        <f t="shared" si="52"/>
        <v>0</v>
      </c>
      <c r="Q69" s="487">
        <f t="shared" si="53"/>
        <v>0</v>
      </c>
      <c r="R69" s="427">
        <f t="shared" si="54"/>
        <v>0</v>
      </c>
      <c r="S69" s="463"/>
    </row>
    <row r="70" spans="1:19" s="464" customFormat="1" x14ac:dyDescent="0.35">
      <c r="A70" s="766"/>
      <c r="B70" s="768"/>
      <c r="C70" s="475" t="s">
        <v>29</v>
      </c>
      <c r="D70" s="476">
        <f t="shared" si="41"/>
        <v>93</v>
      </c>
      <c r="E70" s="477">
        <f t="shared" si="42"/>
        <v>273</v>
      </c>
      <c r="F70" s="478">
        <f t="shared" si="43"/>
        <v>180</v>
      </c>
      <c r="G70" s="485">
        <f t="shared" si="44"/>
        <v>31</v>
      </c>
      <c r="H70" s="486">
        <f t="shared" si="45"/>
        <v>91</v>
      </c>
      <c r="I70" s="425">
        <f t="shared" si="55"/>
        <v>60</v>
      </c>
      <c r="J70" s="486">
        <f t="shared" si="46"/>
        <v>31</v>
      </c>
      <c r="K70" s="486">
        <f t="shared" si="47"/>
        <v>91</v>
      </c>
      <c r="L70" s="425">
        <f t="shared" si="48"/>
        <v>60</v>
      </c>
      <c r="M70" s="486">
        <f t="shared" si="49"/>
        <v>31</v>
      </c>
      <c r="N70" s="486">
        <f t="shared" si="50"/>
        <v>91</v>
      </c>
      <c r="O70" s="425">
        <f t="shared" si="51"/>
        <v>60</v>
      </c>
      <c r="P70" s="486">
        <f t="shared" si="52"/>
        <v>0</v>
      </c>
      <c r="Q70" s="487">
        <f t="shared" si="53"/>
        <v>0</v>
      </c>
      <c r="R70" s="427">
        <f t="shared" si="54"/>
        <v>0</v>
      </c>
      <c r="S70" s="463"/>
    </row>
    <row r="71" spans="1:19" s="464" customFormat="1" x14ac:dyDescent="0.35">
      <c r="A71" s="766"/>
      <c r="B71" s="768"/>
      <c r="C71" s="475" t="s">
        <v>30</v>
      </c>
      <c r="D71" s="476">
        <f t="shared" si="41"/>
        <v>93</v>
      </c>
      <c r="E71" s="477">
        <f t="shared" si="42"/>
        <v>273</v>
      </c>
      <c r="F71" s="478">
        <f t="shared" si="43"/>
        <v>180</v>
      </c>
      <c r="G71" s="485">
        <f t="shared" si="44"/>
        <v>31</v>
      </c>
      <c r="H71" s="486">
        <f t="shared" si="45"/>
        <v>91</v>
      </c>
      <c r="I71" s="425">
        <f t="shared" si="55"/>
        <v>60</v>
      </c>
      <c r="J71" s="486">
        <f t="shared" si="46"/>
        <v>31</v>
      </c>
      <c r="K71" s="486">
        <f t="shared" si="47"/>
        <v>91</v>
      </c>
      <c r="L71" s="425">
        <f t="shared" si="48"/>
        <v>60</v>
      </c>
      <c r="M71" s="486">
        <f t="shared" si="49"/>
        <v>31</v>
      </c>
      <c r="N71" s="486">
        <f t="shared" si="50"/>
        <v>91</v>
      </c>
      <c r="O71" s="425">
        <f t="shared" si="51"/>
        <v>60</v>
      </c>
      <c r="P71" s="486">
        <f t="shared" si="52"/>
        <v>0</v>
      </c>
      <c r="Q71" s="487">
        <f t="shared" si="53"/>
        <v>0</v>
      </c>
      <c r="R71" s="427">
        <f t="shared" si="54"/>
        <v>0</v>
      </c>
      <c r="S71" s="463"/>
    </row>
    <row r="72" spans="1:19" s="464" customFormat="1" x14ac:dyDescent="0.35">
      <c r="A72" s="766"/>
      <c r="B72" s="768"/>
      <c r="C72" s="475" t="s">
        <v>31</v>
      </c>
      <c r="D72" s="476">
        <f t="shared" si="41"/>
        <v>93</v>
      </c>
      <c r="E72" s="477">
        <f t="shared" si="42"/>
        <v>273</v>
      </c>
      <c r="F72" s="478">
        <f t="shared" si="43"/>
        <v>180</v>
      </c>
      <c r="G72" s="485">
        <f t="shared" si="44"/>
        <v>31</v>
      </c>
      <c r="H72" s="486">
        <f t="shared" si="45"/>
        <v>91</v>
      </c>
      <c r="I72" s="425">
        <f t="shared" si="55"/>
        <v>60</v>
      </c>
      <c r="J72" s="486">
        <f t="shared" si="46"/>
        <v>31</v>
      </c>
      <c r="K72" s="486">
        <f t="shared" si="47"/>
        <v>91</v>
      </c>
      <c r="L72" s="425">
        <f t="shared" si="48"/>
        <v>60</v>
      </c>
      <c r="M72" s="486">
        <f t="shared" si="49"/>
        <v>31</v>
      </c>
      <c r="N72" s="486">
        <f t="shared" si="50"/>
        <v>91</v>
      </c>
      <c r="O72" s="425">
        <f t="shared" si="51"/>
        <v>60</v>
      </c>
      <c r="P72" s="486">
        <f t="shared" si="52"/>
        <v>0</v>
      </c>
      <c r="Q72" s="487">
        <f t="shared" si="53"/>
        <v>0</v>
      </c>
      <c r="R72" s="427">
        <f t="shared" si="54"/>
        <v>0</v>
      </c>
      <c r="S72" s="463"/>
    </row>
    <row r="73" spans="1:19" s="464" customFormat="1" x14ac:dyDescent="0.35">
      <c r="A73" s="766"/>
      <c r="B73" s="768"/>
      <c r="C73" s="475" t="s">
        <v>32</v>
      </c>
      <c r="D73" s="476">
        <f t="shared" si="41"/>
        <v>93</v>
      </c>
      <c r="E73" s="477">
        <f t="shared" si="42"/>
        <v>273</v>
      </c>
      <c r="F73" s="478">
        <f t="shared" si="43"/>
        <v>180</v>
      </c>
      <c r="G73" s="485">
        <f t="shared" si="44"/>
        <v>31</v>
      </c>
      <c r="H73" s="486">
        <f t="shared" si="45"/>
        <v>91</v>
      </c>
      <c r="I73" s="425">
        <f t="shared" si="55"/>
        <v>60</v>
      </c>
      <c r="J73" s="486">
        <f t="shared" si="46"/>
        <v>31</v>
      </c>
      <c r="K73" s="486">
        <f t="shared" si="47"/>
        <v>91</v>
      </c>
      <c r="L73" s="425">
        <f t="shared" si="48"/>
        <v>60</v>
      </c>
      <c r="M73" s="486">
        <f t="shared" si="49"/>
        <v>31</v>
      </c>
      <c r="N73" s="486">
        <f t="shared" si="50"/>
        <v>91</v>
      </c>
      <c r="O73" s="425">
        <f t="shared" si="51"/>
        <v>60</v>
      </c>
      <c r="P73" s="486">
        <f t="shared" si="52"/>
        <v>0</v>
      </c>
      <c r="Q73" s="487">
        <f t="shared" si="53"/>
        <v>0</v>
      </c>
      <c r="R73" s="427">
        <f t="shared" si="54"/>
        <v>0</v>
      </c>
      <c r="S73" s="463"/>
    </row>
    <row r="74" spans="1:19" s="464" customFormat="1" x14ac:dyDescent="0.35">
      <c r="A74" s="766"/>
      <c r="B74" s="768"/>
      <c r="C74" s="475" t="s">
        <v>33</v>
      </c>
      <c r="D74" s="476">
        <f t="shared" si="41"/>
        <v>93</v>
      </c>
      <c r="E74" s="477">
        <f t="shared" si="42"/>
        <v>273</v>
      </c>
      <c r="F74" s="478">
        <f t="shared" si="43"/>
        <v>180</v>
      </c>
      <c r="G74" s="485">
        <f t="shared" si="44"/>
        <v>31</v>
      </c>
      <c r="H74" s="486">
        <f t="shared" si="45"/>
        <v>91</v>
      </c>
      <c r="I74" s="425">
        <f t="shared" si="55"/>
        <v>60</v>
      </c>
      <c r="J74" s="486">
        <f t="shared" si="46"/>
        <v>31</v>
      </c>
      <c r="K74" s="486">
        <f t="shared" si="47"/>
        <v>91</v>
      </c>
      <c r="L74" s="425">
        <f t="shared" si="48"/>
        <v>60</v>
      </c>
      <c r="M74" s="486">
        <f t="shared" si="49"/>
        <v>31</v>
      </c>
      <c r="N74" s="486">
        <f t="shared" si="50"/>
        <v>91</v>
      </c>
      <c r="O74" s="425">
        <f t="shared" si="51"/>
        <v>60</v>
      </c>
      <c r="P74" s="486">
        <f t="shared" si="52"/>
        <v>0</v>
      </c>
      <c r="Q74" s="487">
        <f t="shared" si="53"/>
        <v>0</v>
      </c>
      <c r="R74" s="427">
        <f t="shared" si="54"/>
        <v>0</v>
      </c>
      <c r="S74" s="463"/>
    </row>
    <row r="75" spans="1:19" s="464" customFormat="1" ht="15" thickBot="1" x14ac:dyDescent="0.4">
      <c r="A75" s="767"/>
      <c r="B75" s="769"/>
      <c r="C75" s="488" t="s">
        <v>34</v>
      </c>
      <c r="D75" s="489">
        <f t="shared" si="41"/>
        <v>93</v>
      </c>
      <c r="E75" s="490">
        <f t="shared" si="42"/>
        <v>273</v>
      </c>
      <c r="F75" s="491">
        <f t="shared" si="43"/>
        <v>180</v>
      </c>
      <c r="G75" s="492">
        <f t="shared" si="44"/>
        <v>31</v>
      </c>
      <c r="H75" s="493">
        <f t="shared" si="45"/>
        <v>91</v>
      </c>
      <c r="I75" s="434">
        <f t="shared" si="55"/>
        <v>60</v>
      </c>
      <c r="J75" s="493">
        <f t="shared" si="46"/>
        <v>31</v>
      </c>
      <c r="K75" s="493">
        <f t="shared" si="47"/>
        <v>91</v>
      </c>
      <c r="L75" s="434">
        <f t="shared" si="48"/>
        <v>60</v>
      </c>
      <c r="M75" s="493">
        <f t="shared" si="49"/>
        <v>31</v>
      </c>
      <c r="N75" s="493">
        <f t="shared" si="50"/>
        <v>91</v>
      </c>
      <c r="O75" s="434">
        <f t="shared" si="51"/>
        <v>60</v>
      </c>
      <c r="P75" s="493">
        <f t="shared" si="52"/>
        <v>0</v>
      </c>
      <c r="Q75" s="494">
        <f t="shared" si="53"/>
        <v>0</v>
      </c>
      <c r="R75" s="436">
        <f t="shared" si="54"/>
        <v>0</v>
      </c>
      <c r="S75" s="463"/>
    </row>
    <row r="76" spans="1:19" x14ac:dyDescent="0.35">
      <c r="A76" s="766" t="s">
        <v>192</v>
      </c>
      <c r="B76" s="768" t="s">
        <v>13</v>
      </c>
      <c r="C76" s="475" t="s">
        <v>25</v>
      </c>
      <c r="D76" s="476">
        <f t="shared" si="41"/>
        <v>39146.129164750957</v>
      </c>
      <c r="E76" s="477">
        <f t="shared" si="42"/>
        <v>39146.129164750957</v>
      </c>
      <c r="F76" s="478">
        <f t="shared" si="43"/>
        <v>0</v>
      </c>
      <c r="G76" s="495">
        <f>G5*G35*Faktory!$D$8</f>
        <v>15056.203524904215</v>
      </c>
      <c r="H76" s="496">
        <f>((H66*G35)-(H66*((G35-H35)*(1+$S$35))))*Faktory!$D$8</f>
        <v>15056.203524904215</v>
      </c>
      <c r="I76" s="414">
        <f>H76-G76</f>
        <v>0</v>
      </c>
      <c r="J76" s="496">
        <f>J5*J35*Faktory!$D$8</f>
        <v>12044.962819923372</v>
      </c>
      <c r="K76" s="496">
        <f>((K66*J35)-(K66*((J35-K35)*(1+$S$35))))*Faktory!$D$8</f>
        <v>12044.962819923372</v>
      </c>
      <c r="L76" s="414">
        <f>K76-J76</f>
        <v>0</v>
      </c>
      <c r="M76" s="496">
        <f>M5*M35*Faktory!$D$8</f>
        <v>12044.962819923372</v>
      </c>
      <c r="N76" s="496">
        <f>((N66*M35)-(N66*((M35-N35)*(1+$S$35))))*Faktory!$D$8</f>
        <v>12044.962819923372</v>
      </c>
      <c r="O76" s="414">
        <f>N76-M76</f>
        <v>0</v>
      </c>
      <c r="P76" s="496">
        <f>P5*P35*Faktory!$D$8</f>
        <v>0</v>
      </c>
      <c r="Q76" s="497">
        <f>((Q66*P35)-(Q66*((P35-Q35)*(1+$S$35))))*Faktory!$D$8</f>
        <v>0</v>
      </c>
      <c r="R76" s="498">
        <f>Q76-P76</f>
        <v>0</v>
      </c>
    </row>
    <row r="77" spans="1:19" x14ac:dyDescent="0.35">
      <c r="A77" s="766"/>
      <c r="B77" s="768"/>
      <c r="C77" s="475" t="s">
        <v>26</v>
      </c>
      <c r="D77" s="476">
        <f t="shared" si="41"/>
        <v>51191.091984674327</v>
      </c>
      <c r="E77" s="477">
        <f t="shared" si="42"/>
        <v>1657.3965977011494</v>
      </c>
      <c r="F77" s="478">
        <f t="shared" si="43"/>
        <v>-49533.695386973181</v>
      </c>
      <c r="G77" s="485">
        <f>G6*G36*Faktory!$D$8</f>
        <v>15056.203524904215</v>
      </c>
      <c r="H77" s="486">
        <f>((H67*G36)-(H67*((G36-H36)*(1+$S$35))))*Faktory!$D$8</f>
        <v>552.46553256704976</v>
      </c>
      <c r="I77" s="425">
        <f t="shared" ref="I77:I95" si="56">H77-G77</f>
        <v>-14503.737992337165</v>
      </c>
      <c r="J77" s="486">
        <f>J6*J36*Faktory!$D$8</f>
        <v>24089.925639846744</v>
      </c>
      <c r="K77" s="486">
        <f>((K67*J36)-(K67*((J36-K36)*(1+$S$35))))*Faktory!$D$8</f>
        <v>552.46553256704976</v>
      </c>
      <c r="L77" s="425">
        <f t="shared" ref="L77:L95" si="57">K77-J77</f>
        <v>-23537.460107279694</v>
      </c>
      <c r="M77" s="486">
        <f>M6*M36*Faktory!$D$8</f>
        <v>12044.962819923372</v>
      </c>
      <c r="N77" s="486">
        <f>((N67*M36)-(N67*((M36-N36)*(1+$S$35))))*Faktory!$D$8</f>
        <v>552.46553256704976</v>
      </c>
      <c r="O77" s="425">
        <f t="shared" ref="O77:O95" si="58">N77-M77</f>
        <v>-11492.497287356322</v>
      </c>
      <c r="P77" s="486">
        <f>P6*P36*Faktory!$D$8</f>
        <v>0</v>
      </c>
      <c r="Q77" s="487">
        <f>((Q67*P36)-(Q67*((P36-Q36)*(1+$S$35))))*Faktory!$D$8</f>
        <v>0</v>
      </c>
      <c r="R77" s="427">
        <f t="shared" ref="R77:R95" si="59">Q77-P77</f>
        <v>0</v>
      </c>
    </row>
    <row r="78" spans="1:19" x14ac:dyDescent="0.35">
      <c r="A78" s="766"/>
      <c r="B78" s="768"/>
      <c r="C78" s="475" t="s">
        <v>27</v>
      </c>
      <c r="D78" s="476">
        <f t="shared" si="41"/>
        <v>51191.091984674327</v>
      </c>
      <c r="E78" s="477">
        <f t="shared" si="42"/>
        <v>1657.3965977011494</v>
      </c>
      <c r="F78" s="478">
        <f t="shared" si="43"/>
        <v>-49533.695386973181</v>
      </c>
      <c r="G78" s="485">
        <f>G7*G37*Faktory!$D$8</f>
        <v>15056.203524904215</v>
      </c>
      <c r="H78" s="486">
        <f>((H68*G37)-(H68*((G37-H37)*(1+$S$35))))*Faktory!$D$8</f>
        <v>552.46553256704976</v>
      </c>
      <c r="I78" s="425">
        <f t="shared" si="56"/>
        <v>-14503.737992337165</v>
      </c>
      <c r="J78" s="486">
        <f>J7*J37*Faktory!$D$8</f>
        <v>24089.925639846744</v>
      </c>
      <c r="K78" s="486">
        <f>((K68*J37)-(K68*((J37-K37)*(1+$S$35))))*Faktory!$D$8</f>
        <v>552.46553256704976</v>
      </c>
      <c r="L78" s="425">
        <f t="shared" si="57"/>
        <v>-23537.460107279694</v>
      </c>
      <c r="M78" s="486">
        <f>M7*M37*Faktory!$D$8</f>
        <v>12044.962819923372</v>
      </c>
      <c r="N78" s="486">
        <f>((N68*M37)-(N68*((M37-N37)*(1+$S$35))))*Faktory!$D$8</f>
        <v>552.46553256704976</v>
      </c>
      <c r="O78" s="425">
        <f t="shared" si="58"/>
        <v>-11492.497287356322</v>
      </c>
      <c r="P78" s="486">
        <f>P7*P37*Faktory!$D$8</f>
        <v>0</v>
      </c>
      <c r="Q78" s="487">
        <f>((Q68*P37)-(Q68*((P37-Q37)*(1+$S$35))))*Faktory!$D$8</f>
        <v>0</v>
      </c>
      <c r="R78" s="427">
        <f t="shared" si="59"/>
        <v>0</v>
      </c>
    </row>
    <row r="79" spans="1:19" x14ac:dyDescent="0.35">
      <c r="A79" s="766"/>
      <c r="B79" s="768"/>
      <c r="C79" s="475" t="s">
        <v>28</v>
      </c>
      <c r="D79" s="476">
        <f t="shared" si="41"/>
        <v>51191.091984674327</v>
      </c>
      <c r="E79" s="477">
        <f t="shared" si="42"/>
        <v>1657.3965977011494</v>
      </c>
      <c r="F79" s="478">
        <f t="shared" si="43"/>
        <v>-49533.695386973181</v>
      </c>
      <c r="G79" s="485">
        <f>G8*G38*Faktory!$D$8</f>
        <v>15056.203524904215</v>
      </c>
      <c r="H79" s="486">
        <f>((H69*G38)-(H69*((G38-H38)*(1+$S$35))))*Faktory!$D$8</f>
        <v>552.46553256704976</v>
      </c>
      <c r="I79" s="425">
        <f t="shared" si="56"/>
        <v>-14503.737992337165</v>
      </c>
      <c r="J79" s="486">
        <f>J8*J38*Faktory!$D$8</f>
        <v>24089.925639846744</v>
      </c>
      <c r="K79" s="486">
        <f>((K69*J38)-(K69*((J38-K38)*(1+$S$35))))*Faktory!$D$8</f>
        <v>552.46553256704976</v>
      </c>
      <c r="L79" s="425">
        <f t="shared" si="57"/>
        <v>-23537.460107279694</v>
      </c>
      <c r="M79" s="486">
        <f>M8*M38*Faktory!$D$8</f>
        <v>12044.962819923372</v>
      </c>
      <c r="N79" s="486">
        <f>((N69*M38)-(N69*((M38-N38)*(1+$S$35))))*Faktory!$D$8</f>
        <v>552.46553256704976</v>
      </c>
      <c r="O79" s="425">
        <f t="shared" si="58"/>
        <v>-11492.497287356322</v>
      </c>
      <c r="P79" s="486">
        <f>P8*P38*Faktory!$D$8</f>
        <v>0</v>
      </c>
      <c r="Q79" s="487">
        <f>((Q69*P38)-(Q69*((P38-Q38)*(1+$S$35))))*Faktory!$D$8</f>
        <v>0</v>
      </c>
      <c r="R79" s="427">
        <f t="shared" si="59"/>
        <v>0</v>
      </c>
    </row>
    <row r="80" spans="1:19" x14ac:dyDescent="0.35">
      <c r="A80" s="766"/>
      <c r="B80" s="768"/>
      <c r="C80" s="475" t="s">
        <v>29</v>
      </c>
      <c r="D80" s="476">
        <f t="shared" si="41"/>
        <v>51191.091984674327</v>
      </c>
      <c r="E80" s="477">
        <f t="shared" si="42"/>
        <v>1657.3965977011494</v>
      </c>
      <c r="F80" s="478">
        <f t="shared" si="43"/>
        <v>-49533.695386973181</v>
      </c>
      <c r="G80" s="485">
        <f>G9*G39*Faktory!$D$8</f>
        <v>15056.203524904215</v>
      </c>
      <c r="H80" s="486">
        <f>((H70*G39)-(H70*((G39-H39)*(1+$S$35))))*Faktory!$D$8</f>
        <v>552.46553256704976</v>
      </c>
      <c r="I80" s="425">
        <f t="shared" si="56"/>
        <v>-14503.737992337165</v>
      </c>
      <c r="J80" s="486">
        <f>J9*J39*Faktory!$D$8</f>
        <v>24089.925639846744</v>
      </c>
      <c r="K80" s="486">
        <f>((K70*J39)-(K70*((J39-K39)*(1+$S$35))))*Faktory!$D$8</f>
        <v>552.46553256704976</v>
      </c>
      <c r="L80" s="425">
        <f t="shared" si="57"/>
        <v>-23537.460107279694</v>
      </c>
      <c r="M80" s="486">
        <f>M9*M39*Faktory!$D$8</f>
        <v>12044.962819923372</v>
      </c>
      <c r="N80" s="486">
        <f>((N70*M39)-(N70*((M39-N39)*(1+$S$35))))*Faktory!$D$8</f>
        <v>552.46553256704976</v>
      </c>
      <c r="O80" s="425">
        <f t="shared" si="58"/>
        <v>-11492.497287356322</v>
      </c>
      <c r="P80" s="486">
        <f>P9*P39*Faktory!$D$8</f>
        <v>0</v>
      </c>
      <c r="Q80" s="487">
        <f>((Q70*P39)-(Q70*((P39-Q39)*(1+$S$35))))*Faktory!$D$8</f>
        <v>0</v>
      </c>
      <c r="R80" s="427">
        <f t="shared" si="59"/>
        <v>0</v>
      </c>
    </row>
    <row r="81" spans="1:18" x14ac:dyDescent="0.35">
      <c r="A81" s="766"/>
      <c r="B81" s="768"/>
      <c r="C81" s="475" t="s">
        <v>30</v>
      </c>
      <c r="D81" s="476">
        <f t="shared" si="41"/>
        <v>51191.091984674327</v>
      </c>
      <c r="E81" s="477">
        <f t="shared" si="42"/>
        <v>1657.3965977011494</v>
      </c>
      <c r="F81" s="478">
        <f t="shared" si="43"/>
        <v>-49533.695386973181</v>
      </c>
      <c r="G81" s="485">
        <f>G10*G40*Faktory!$D$8</f>
        <v>15056.203524904215</v>
      </c>
      <c r="H81" s="486">
        <f>((H71*G40)-(H71*((G40-H40)*(1+$S$35))))*Faktory!$D$8</f>
        <v>552.46553256704976</v>
      </c>
      <c r="I81" s="425">
        <f t="shared" si="56"/>
        <v>-14503.737992337165</v>
      </c>
      <c r="J81" s="486">
        <f>J10*J40*Faktory!$D$8</f>
        <v>24089.925639846744</v>
      </c>
      <c r="K81" s="486">
        <f>((K71*J40)-(K71*((J40-K40)*(1+$S$35))))*Faktory!$D$8</f>
        <v>552.46553256704976</v>
      </c>
      <c r="L81" s="425">
        <f t="shared" si="57"/>
        <v>-23537.460107279694</v>
      </c>
      <c r="M81" s="486">
        <f>M10*M40*Faktory!$D$8</f>
        <v>12044.962819923372</v>
      </c>
      <c r="N81" s="486">
        <f>((N71*M40)-(N71*((M40-N40)*(1+$S$35))))*Faktory!$D$8</f>
        <v>552.46553256704976</v>
      </c>
      <c r="O81" s="425">
        <f t="shared" si="58"/>
        <v>-11492.497287356322</v>
      </c>
      <c r="P81" s="486">
        <f>P10*P40*Faktory!$D$8</f>
        <v>0</v>
      </c>
      <c r="Q81" s="487">
        <f>((Q71*P40)-(Q71*((P40-Q40)*(1+$S$35))))*Faktory!$D$8</f>
        <v>0</v>
      </c>
      <c r="R81" s="427">
        <f t="shared" si="59"/>
        <v>0</v>
      </c>
    </row>
    <row r="82" spans="1:18" x14ac:dyDescent="0.35">
      <c r="A82" s="766"/>
      <c r="B82" s="768"/>
      <c r="C82" s="475" t="s">
        <v>31</v>
      </c>
      <c r="D82" s="476">
        <f t="shared" si="41"/>
        <v>51191.091984674327</v>
      </c>
      <c r="E82" s="477">
        <f t="shared" si="42"/>
        <v>1657.3965977011494</v>
      </c>
      <c r="F82" s="478">
        <f t="shared" si="43"/>
        <v>-49533.695386973181</v>
      </c>
      <c r="G82" s="485">
        <f>G11*G41*Faktory!$D$8</f>
        <v>15056.203524904215</v>
      </c>
      <c r="H82" s="486">
        <f>((H72*G41)-(H72*((G41-H41)*(1+$S$35))))*Faktory!$D$8</f>
        <v>552.46553256704976</v>
      </c>
      <c r="I82" s="425">
        <f t="shared" si="56"/>
        <v>-14503.737992337165</v>
      </c>
      <c r="J82" s="486">
        <f>J11*J41*Faktory!$D$8</f>
        <v>24089.925639846744</v>
      </c>
      <c r="K82" s="486">
        <f>((K72*J41)-(K72*((J41-K41)*(1+$S$35))))*Faktory!$D$8</f>
        <v>552.46553256704976</v>
      </c>
      <c r="L82" s="425">
        <f t="shared" si="57"/>
        <v>-23537.460107279694</v>
      </c>
      <c r="M82" s="486">
        <f>M11*M41*Faktory!$D$8</f>
        <v>12044.962819923372</v>
      </c>
      <c r="N82" s="486">
        <f>((N72*M41)-(N72*((M41-N41)*(1+$S$35))))*Faktory!$D$8</f>
        <v>552.46553256704976</v>
      </c>
      <c r="O82" s="425">
        <f t="shared" si="58"/>
        <v>-11492.497287356322</v>
      </c>
      <c r="P82" s="486">
        <f>P11*P41*Faktory!$D$8</f>
        <v>0</v>
      </c>
      <c r="Q82" s="487">
        <f>((Q72*P41)-(Q72*((P41-Q41)*(1+$S$35))))*Faktory!$D$8</f>
        <v>0</v>
      </c>
      <c r="R82" s="427">
        <f t="shared" si="59"/>
        <v>0</v>
      </c>
    </row>
    <row r="83" spans="1:18" x14ac:dyDescent="0.35">
      <c r="A83" s="766"/>
      <c r="B83" s="768"/>
      <c r="C83" s="475" t="s">
        <v>32</v>
      </c>
      <c r="D83" s="476">
        <f t="shared" si="41"/>
        <v>51191.091984674327</v>
      </c>
      <c r="E83" s="477">
        <f t="shared" si="42"/>
        <v>1657.3965977011494</v>
      </c>
      <c r="F83" s="478">
        <f t="shared" si="43"/>
        <v>-49533.695386973181</v>
      </c>
      <c r="G83" s="485">
        <f>G12*G42*Faktory!$D$8</f>
        <v>15056.203524904215</v>
      </c>
      <c r="H83" s="486">
        <f>((H73*G42)-(H73*((G42-H42)*(1+$S$35))))*Faktory!$D$8</f>
        <v>552.46553256704976</v>
      </c>
      <c r="I83" s="425">
        <f t="shared" si="56"/>
        <v>-14503.737992337165</v>
      </c>
      <c r="J83" s="486">
        <f>J12*J42*Faktory!$D$8</f>
        <v>24089.925639846744</v>
      </c>
      <c r="K83" s="486">
        <f>((K73*J42)-(K73*((J42-K42)*(1+$S$35))))*Faktory!$D$8</f>
        <v>552.46553256704976</v>
      </c>
      <c r="L83" s="425">
        <f t="shared" si="57"/>
        <v>-23537.460107279694</v>
      </c>
      <c r="M83" s="486">
        <f>M12*M42*Faktory!$D$8</f>
        <v>12044.962819923372</v>
      </c>
      <c r="N83" s="486">
        <f>((N73*M42)-(N73*((M42-N42)*(1+$S$35))))*Faktory!$D$8</f>
        <v>552.46553256704976</v>
      </c>
      <c r="O83" s="425">
        <f t="shared" si="58"/>
        <v>-11492.497287356322</v>
      </c>
      <c r="P83" s="486">
        <f>P12*P42*Faktory!$D$8</f>
        <v>0</v>
      </c>
      <c r="Q83" s="487">
        <f>((Q73*P42)-(Q73*((P42-Q42)*(1+$S$35))))*Faktory!$D$8</f>
        <v>0</v>
      </c>
      <c r="R83" s="427">
        <f t="shared" si="59"/>
        <v>0</v>
      </c>
    </row>
    <row r="84" spans="1:18" x14ac:dyDescent="0.35">
      <c r="A84" s="766"/>
      <c r="B84" s="768"/>
      <c r="C84" s="475" t="s">
        <v>33</v>
      </c>
      <c r="D84" s="476">
        <f t="shared" si="41"/>
        <v>51191.091984674327</v>
      </c>
      <c r="E84" s="477">
        <f t="shared" si="42"/>
        <v>1657.3965977011494</v>
      </c>
      <c r="F84" s="478">
        <f t="shared" si="43"/>
        <v>-49533.695386973181</v>
      </c>
      <c r="G84" s="485">
        <f>G13*G43*Faktory!$D$8</f>
        <v>15056.203524904215</v>
      </c>
      <c r="H84" s="486">
        <f>((H74*G43)-(H74*((G43-H43)*(1+$S$35))))*Faktory!$D$8</f>
        <v>552.46553256704976</v>
      </c>
      <c r="I84" s="425">
        <f t="shared" si="56"/>
        <v>-14503.737992337165</v>
      </c>
      <c r="J84" s="486">
        <f>J13*J43*Faktory!$D$8</f>
        <v>24089.925639846744</v>
      </c>
      <c r="K84" s="486">
        <f>((K74*J43)-(K74*((J43-K43)*(1+$S$35))))*Faktory!$D$8</f>
        <v>552.46553256704976</v>
      </c>
      <c r="L84" s="425">
        <f t="shared" si="57"/>
        <v>-23537.460107279694</v>
      </c>
      <c r="M84" s="486">
        <f>M13*M43*Faktory!$D$8</f>
        <v>12044.962819923372</v>
      </c>
      <c r="N84" s="486">
        <f>((N74*M43)-(N74*((M43-N43)*(1+$S$35))))*Faktory!$D$8</f>
        <v>552.46553256704976</v>
      </c>
      <c r="O84" s="425">
        <f t="shared" si="58"/>
        <v>-11492.497287356322</v>
      </c>
      <c r="P84" s="486">
        <f>P13*P43*Faktory!$D$8</f>
        <v>0</v>
      </c>
      <c r="Q84" s="487">
        <f>((Q74*P43)-(Q74*((P43-Q43)*(1+$S$35))))*Faktory!$D$8</f>
        <v>0</v>
      </c>
      <c r="R84" s="427">
        <f t="shared" si="59"/>
        <v>0</v>
      </c>
    </row>
    <row r="85" spans="1:18" ht="15" thickBot="1" x14ac:dyDescent="0.4">
      <c r="A85" s="767"/>
      <c r="B85" s="769"/>
      <c r="C85" s="488" t="s">
        <v>34</v>
      </c>
      <c r="D85" s="489">
        <f t="shared" si="41"/>
        <v>51191.091984674327</v>
      </c>
      <c r="E85" s="490">
        <f t="shared" si="42"/>
        <v>1657.3965977011494</v>
      </c>
      <c r="F85" s="491">
        <f t="shared" si="43"/>
        <v>-49533.695386973181</v>
      </c>
      <c r="G85" s="492">
        <f>G14*G44*Faktory!$D$8</f>
        <v>15056.203524904215</v>
      </c>
      <c r="H85" s="493">
        <f>((H75*G44)-(H75*((G44-H44)*(1+$S$35))))*Faktory!$D$8</f>
        <v>552.46553256704976</v>
      </c>
      <c r="I85" s="434">
        <f t="shared" si="56"/>
        <v>-14503.737992337165</v>
      </c>
      <c r="J85" s="493">
        <f>J14*J44*Faktory!$D$8</f>
        <v>24089.925639846744</v>
      </c>
      <c r="K85" s="493">
        <f>((K75*J44)-(K75*((J44-K44)*(1+$S$35))))*Faktory!$D$8</f>
        <v>552.46553256704976</v>
      </c>
      <c r="L85" s="434">
        <f t="shared" si="57"/>
        <v>-23537.460107279694</v>
      </c>
      <c r="M85" s="493">
        <f>M14*M44*Faktory!$D$8</f>
        <v>12044.962819923372</v>
      </c>
      <c r="N85" s="493">
        <f>((N75*M44)-(N75*((M44-N44)*(1+$S$35))))*Faktory!$D$8</f>
        <v>552.46553256704976</v>
      </c>
      <c r="O85" s="434">
        <f t="shared" si="58"/>
        <v>-11492.497287356322</v>
      </c>
      <c r="P85" s="493">
        <f>P14*P44*Faktory!$D$8</f>
        <v>0</v>
      </c>
      <c r="Q85" s="494">
        <f>((Q75*P44)-(Q75*((P44-Q44)*(1+$S$35))))*Faktory!$D$8</f>
        <v>0</v>
      </c>
      <c r="R85" s="436">
        <f t="shared" si="59"/>
        <v>0</v>
      </c>
    </row>
    <row r="86" spans="1:18" x14ac:dyDescent="0.35">
      <c r="A86" s="766" t="s">
        <v>187</v>
      </c>
      <c r="B86" s="768" t="s">
        <v>188</v>
      </c>
      <c r="C86" s="475" t="s">
        <v>25</v>
      </c>
      <c r="D86" s="500">
        <f t="shared" si="41"/>
        <v>1.7058201058201059</v>
      </c>
      <c r="E86" s="501">
        <f t="shared" si="42"/>
        <v>1.7058201058201059</v>
      </c>
      <c r="F86" s="502">
        <f t="shared" si="43"/>
        <v>0</v>
      </c>
      <c r="G86" s="503">
        <f t="shared" ref="G86:H95" si="60">(G5*G35)/12/21/7.5</f>
        <v>0.65608465608465605</v>
      </c>
      <c r="H86" s="504">
        <f t="shared" si="60"/>
        <v>0.65608465608465605</v>
      </c>
      <c r="I86" s="505">
        <f t="shared" si="56"/>
        <v>0</v>
      </c>
      <c r="J86" s="504">
        <f t="shared" ref="J86:K95" si="61">(J5*J35)/12/21/7.5</f>
        <v>0.52486772486772493</v>
      </c>
      <c r="K86" s="504">
        <f t="shared" si="61"/>
        <v>0.52486772486772493</v>
      </c>
      <c r="L86" s="505">
        <f t="shared" si="57"/>
        <v>0</v>
      </c>
      <c r="M86" s="504">
        <f t="shared" ref="M86:N95" si="62">(M5*M35)/12/21/7.5</f>
        <v>0.52486772486772493</v>
      </c>
      <c r="N86" s="504">
        <f t="shared" si="62"/>
        <v>0.52486772486772493</v>
      </c>
      <c r="O86" s="505">
        <f t="shared" si="58"/>
        <v>0</v>
      </c>
      <c r="P86" s="504">
        <f t="shared" ref="P86:Q95" si="63">(P5*P35)/12/21/7.5</f>
        <v>0</v>
      </c>
      <c r="Q86" s="506">
        <f t="shared" si="63"/>
        <v>0</v>
      </c>
      <c r="R86" s="507">
        <f t="shared" si="59"/>
        <v>0</v>
      </c>
    </row>
    <row r="87" spans="1:18" x14ac:dyDescent="0.35">
      <c r="A87" s="766"/>
      <c r="B87" s="768"/>
      <c r="C87" s="475" t="s">
        <v>26</v>
      </c>
      <c r="D87" s="500">
        <f t="shared" si="41"/>
        <v>2.2306878306878311</v>
      </c>
      <c r="E87" s="501">
        <f t="shared" si="42"/>
        <v>7.2222222222222215E-2</v>
      </c>
      <c r="F87" s="502">
        <f t="shared" si="43"/>
        <v>-2.1584656084656086</v>
      </c>
      <c r="G87" s="508">
        <f t="shared" si="60"/>
        <v>0.65608465608465605</v>
      </c>
      <c r="H87" s="509">
        <f t="shared" si="60"/>
        <v>2.4074074074074074E-2</v>
      </c>
      <c r="I87" s="510">
        <f t="shared" si="56"/>
        <v>-0.63201058201058202</v>
      </c>
      <c r="J87" s="509">
        <f t="shared" si="61"/>
        <v>1.0497354497354499</v>
      </c>
      <c r="K87" s="509">
        <f t="shared" si="61"/>
        <v>2.4074074074074074E-2</v>
      </c>
      <c r="L87" s="510">
        <f t="shared" si="57"/>
        <v>-1.0256613756613757</v>
      </c>
      <c r="M87" s="509">
        <f t="shared" si="62"/>
        <v>0.52486772486772493</v>
      </c>
      <c r="N87" s="509">
        <f t="shared" si="62"/>
        <v>2.4074074074074074E-2</v>
      </c>
      <c r="O87" s="510">
        <f t="shared" si="58"/>
        <v>-0.5007936507936509</v>
      </c>
      <c r="P87" s="509">
        <f t="shared" si="63"/>
        <v>0</v>
      </c>
      <c r="Q87" s="511">
        <f t="shared" si="63"/>
        <v>0</v>
      </c>
      <c r="R87" s="512">
        <f t="shared" si="59"/>
        <v>0</v>
      </c>
    </row>
    <row r="88" spans="1:18" x14ac:dyDescent="0.35">
      <c r="A88" s="766"/>
      <c r="B88" s="768"/>
      <c r="C88" s="475" t="s">
        <v>27</v>
      </c>
      <c r="D88" s="500">
        <f t="shared" si="41"/>
        <v>2.2306878306878311</v>
      </c>
      <c r="E88" s="501">
        <f t="shared" si="42"/>
        <v>7.2222222222222215E-2</v>
      </c>
      <c r="F88" s="502">
        <f t="shared" si="43"/>
        <v>-2.1584656084656086</v>
      </c>
      <c r="G88" s="508">
        <f t="shared" si="60"/>
        <v>0.65608465608465605</v>
      </c>
      <c r="H88" s="509">
        <f t="shared" si="60"/>
        <v>2.4074074074074074E-2</v>
      </c>
      <c r="I88" s="510">
        <f t="shared" si="56"/>
        <v>-0.63201058201058202</v>
      </c>
      <c r="J88" s="509">
        <f t="shared" si="61"/>
        <v>1.0497354497354499</v>
      </c>
      <c r="K88" s="509">
        <f t="shared" si="61"/>
        <v>2.4074074074074074E-2</v>
      </c>
      <c r="L88" s="510">
        <f t="shared" si="57"/>
        <v>-1.0256613756613757</v>
      </c>
      <c r="M88" s="509">
        <f t="shared" si="62"/>
        <v>0.52486772486772493</v>
      </c>
      <c r="N88" s="509">
        <f t="shared" si="62"/>
        <v>2.4074074074074074E-2</v>
      </c>
      <c r="O88" s="510">
        <f t="shared" si="58"/>
        <v>-0.5007936507936509</v>
      </c>
      <c r="P88" s="509">
        <f t="shared" si="63"/>
        <v>0</v>
      </c>
      <c r="Q88" s="511">
        <f t="shared" si="63"/>
        <v>0</v>
      </c>
      <c r="R88" s="512">
        <f t="shared" si="59"/>
        <v>0</v>
      </c>
    </row>
    <row r="89" spans="1:18" x14ac:dyDescent="0.35">
      <c r="A89" s="766"/>
      <c r="B89" s="768"/>
      <c r="C89" s="475" t="s">
        <v>28</v>
      </c>
      <c r="D89" s="500">
        <f t="shared" si="41"/>
        <v>2.2306878306878311</v>
      </c>
      <c r="E89" s="501">
        <f t="shared" si="42"/>
        <v>7.2222222222222215E-2</v>
      </c>
      <c r="F89" s="502">
        <f t="shared" si="43"/>
        <v>-2.1584656084656086</v>
      </c>
      <c r="G89" s="508">
        <f t="shared" si="60"/>
        <v>0.65608465608465605</v>
      </c>
      <c r="H89" s="509">
        <f t="shared" si="60"/>
        <v>2.4074074074074074E-2</v>
      </c>
      <c r="I89" s="510">
        <f t="shared" si="56"/>
        <v>-0.63201058201058202</v>
      </c>
      <c r="J89" s="509">
        <f t="shared" si="61"/>
        <v>1.0497354497354499</v>
      </c>
      <c r="K89" s="509">
        <f t="shared" si="61"/>
        <v>2.4074074074074074E-2</v>
      </c>
      <c r="L89" s="510">
        <f t="shared" si="57"/>
        <v>-1.0256613756613757</v>
      </c>
      <c r="M89" s="509">
        <f t="shared" si="62"/>
        <v>0.52486772486772493</v>
      </c>
      <c r="N89" s="509">
        <f t="shared" si="62"/>
        <v>2.4074074074074074E-2</v>
      </c>
      <c r="O89" s="510">
        <f t="shared" si="58"/>
        <v>-0.5007936507936509</v>
      </c>
      <c r="P89" s="509">
        <f t="shared" si="63"/>
        <v>0</v>
      </c>
      <c r="Q89" s="511">
        <f t="shared" si="63"/>
        <v>0</v>
      </c>
      <c r="R89" s="512">
        <f t="shared" si="59"/>
        <v>0</v>
      </c>
    </row>
    <row r="90" spans="1:18" x14ac:dyDescent="0.35">
      <c r="A90" s="766"/>
      <c r="B90" s="768"/>
      <c r="C90" s="475" t="s">
        <v>29</v>
      </c>
      <c r="D90" s="500">
        <f t="shared" si="41"/>
        <v>2.2306878306878311</v>
      </c>
      <c r="E90" s="501">
        <f t="shared" si="42"/>
        <v>7.2222222222222215E-2</v>
      </c>
      <c r="F90" s="502">
        <f t="shared" si="43"/>
        <v>-2.1584656084656086</v>
      </c>
      <c r="G90" s="508">
        <f t="shared" si="60"/>
        <v>0.65608465608465605</v>
      </c>
      <c r="H90" s="509">
        <f t="shared" si="60"/>
        <v>2.4074074074074074E-2</v>
      </c>
      <c r="I90" s="510">
        <f t="shared" si="56"/>
        <v>-0.63201058201058202</v>
      </c>
      <c r="J90" s="509">
        <f t="shared" si="61"/>
        <v>1.0497354497354499</v>
      </c>
      <c r="K90" s="509">
        <f t="shared" si="61"/>
        <v>2.4074074074074074E-2</v>
      </c>
      <c r="L90" s="510">
        <f t="shared" si="57"/>
        <v>-1.0256613756613757</v>
      </c>
      <c r="M90" s="509">
        <f t="shared" si="62"/>
        <v>0.52486772486772493</v>
      </c>
      <c r="N90" s="509">
        <f t="shared" si="62"/>
        <v>2.4074074074074074E-2</v>
      </c>
      <c r="O90" s="510">
        <f t="shared" si="58"/>
        <v>-0.5007936507936509</v>
      </c>
      <c r="P90" s="509">
        <f t="shared" si="63"/>
        <v>0</v>
      </c>
      <c r="Q90" s="511">
        <f t="shared" si="63"/>
        <v>0</v>
      </c>
      <c r="R90" s="512">
        <f t="shared" si="59"/>
        <v>0</v>
      </c>
    </row>
    <row r="91" spans="1:18" x14ac:dyDescent="0.35">
      <c r="A91" s="766"/>
      <c r="B91" s="768"/>
      <c r="C91" s="475" t="s">
        <v>30</v>
      </c>
      <c r="D91" s="500">
        <f t="shared" si="41"/>
        <v>2.2306878306878311</v>
      </c>
      <c r="E91" s="501">
        <f t="shared" si="42"/>
        <v>7.2222222222222215E-2</v>
      </c>
      <c r="F91" s="502">
        <f t="shared" si="43"/>
        <v>-2.1584656084656086</v>
      </c>
      <c r="G91" s="508">
        <f t="shared" si="60"/>
        <v>0.65608465608465605</v>
      </c>
      <c r="H91" s="509">
        <f t="shared" si="60"/>
        <v>2.4074074074074074E-2</v>
      </c>
      <c r="I91" s="510">
        <f t="shared" si="56"/>
        <v>-0.63201058201058202</v>
      </c>
      <c r="J91" s="509">
        <f t="shared" si="61"/>
        <v>1.0497354497354499</v>
      </c>
      <c r="K91" s="509">
        <f t="shared" si="61"/>
        <v>2.4074074074074074E-2</v>
      </c>
      <c r="L91" s="510">
        <f t="shared" si="57"/>
        <v>-1.0256613756613757</v>
      </c>
      <c r="M91" s="509">
        <f t="shared" si="62"/>
        <v>0.52486772486772493</v>
      </c>
      <c r="N91" s="509">
        <f t="shared" si="62"/>
        <v>2.4074074074074074E-2</v>
      </c>
      <c r="O91" s="510">
        <f t="shared" si="58"/>
        <v>-0.5007936507936509</v>
      </c>
      <c r="P91" s="509">
        <f t="shared" si="63"/>
        <v>0</v>
      </c>
      <c r="Q91" s="511">
        <f t="shared" si="63"/>
        <v>0</v>
      </c>
      <c r="R91" s="512">
        <f t="shared" si="59"/>
        <v>0</v>
      </c>
    </row>
    <row r="92" spans="1:18" x14ac:dyDescent="0.35">
      <c r="A92" s="766"/>
      <c r="B92" s="768"/>
      <c r="C92" s="475" t="s">
        <v>31</v>
      </c>
      <c r="D92" s="500">
        <f t="shared" si="41"/>
        <v>2.2306878306878311</v>
      </c>
      <c r="E92" s="501">
        <f t="shared" si="42"/>
        <v>7.2222222222222215E-2</v>
      </c>
      <c r="F92" s="502">
        <f t="shared" si="43"/>
        <v>-2.1584656084656086</v>
      </c>
      <c r="G92" s="508">
        <f t="shared" si="60"/>
        <v>0.65608465608465605</v>
      </c>
      <c r="H92" s="509">
        <f t="shared" si="60"/>
        <v>2.4074074074074074E-2</v>
      </c>
      <c r="I92" s="510">
        <f t="shared" si="56"/>
        <v>-0.63201058201058202</v>
      </c>
      <c r="J92" s="509">
        <f t="shared" si="61"/>
        <v>1.0497354497354499</v>
      </c>
      <c r="K92" s="509">
        <f t="shared" si="61"/>
        <v>2.4074074074074074E-2</v>
      </c>
      <c r="L92" s="510">
        <f t="shared" si="57"/>
        <v>-1.0256613756613757</v>
      </c>
      <c r="M92" s="509">
        <f t="shared" si="62"/>
        <v>0.52486772486772493</v>
      </c>
      <c r="N92" s="509">
        <f t="shared" si="62"/>
        <v>2.4074074074074074E-2</v>
      </c>
      <c r="O92" s="510">
        <f t="shared" si="58"/>
        <v>-0.5007936507936509</v>
      </c>
      <c r="P92" s="509">
        <f t="shared" si="63"/>
        <v>0</v>
      </c>
      <c r="Q92" s="511">
        <f t="shared" si="63"/>
        <v>0</v>
      </c>
      <c r="R92" s="512">
        <f t="shared" si="59"/>
        <v>0</v>
      </c>
    </row>
    <row r="93" spans="1:18" x14ac:dyDescent="0.35">
      <c r="A93" s="766"/>
      <c r="B93" s="768"/>
      <c r="C93" s="475" t="s">
        <v>32</v>
      </c>
      <c r="D93" s="500">
        <f t="shared" si="41"/>
        <v>2.2306878306878311</v>
      </c>
      <c r="E93" s="501">
        <f t="shared" si="42"/>
        <v>7.2222222222222215E-2</v>
      </c>
      <c r="F93" s="502">
        <f t="shared" si="43"/>
        <v>-2.1584656084656086</v>
      </c>
      <c r="G93" s="508">
        <f t="shared" si="60"/>
        <v>0.65608465608465605</v>
      </c>
      <c r="H93" s="509">
        <f t="shared" si="60"/>
        <v>2.4074074074074074E-2</v>
      </c>
      <c r="I93" s="510">
        <f t="shared" si="56"/>
        <v>-0.63201058201058202</v>
      </c>
      <c r="J93" s="509">
        <f t="shared" si="61"/>
        <v>1.0497354497354499</v>
      </c>
      <c r="K93" s="509">
        <f t="shared" si="61"/>
        <v>2.4074074074074074E-2</v>
      </c>
      <c r="L93" s="510">
        <f t="shared" si="57"/>
        <v>-1.0256613756613757</v>
      </c>
      <c r="M93" s="509">
        <f t="shared" si="62"/>
        <v>0.52486772486772493</v>
      </c>
      <c r="N93" s="509">
        <f t="shared" si="62"/>
        <v>2.4074074074074074E-2</v>
      </c>
      <c r="O93" s="510">
        <f t="shared" si="58"/>
        <v>-0.5007936507936509</v>
      </c>
      <c r="P93" s="509">
        <f t="shared" si="63"/>
        <v>0</v>
      </c>
      <c r="Q93" s="511">
        <f t="shared" si="63"/>
        <v>0</v>
      </c>
      <c r="R93" s="512">
        <f t="shared" si="59"/>
        <v>0</v>
      </c>
    </row>
    <row r="94" spans="1:18" x14ac:dyDescent="0.35">
      <c r="A94" s="766"/>
      <c r="B94" s="768"/>
      <c r="C94" s="475" t="s">
        <v>33</v>
      </c>
      <c r="D94" s="500">
        <f t="shared" si="41"/>
        <v>2.2306878306878311</v>
      </c>
      <c r="E94" s="501">
        <f t="shared" si="42"/>
        <v>7.2222222222222215E-2</v>
      </c>
      <c r="F94" s="502">
        <f t="shared" si="43"/>
        <v>-2.1584656084656086</v>
      </c>
      <c r="G94" s="508">
        <f t="shared" si="60"/>
        <v>0.65608465608465605</v>
      </c>
      <c r="H94" s="509">
        <f t="shared" si="60"/>
        <v>2.4074074074074074E-2</v>
      </c>
      <c r="I94" s="510">
        <f t="shared" si="56"/>
        <v>-0.63201058201058202</v>
      </c>
      <c r="J94" s="509">
        <f t="shared" si="61"/>
        <v>1.0497354497354499</v>
      </c>
      <c r="K94" s="509">
        <f t="shared" si="61"/>
        <v>2.4074074074074074E-2</v>
      </c>
      <c r="L94" s="510">
        <f t="shared" si="57"/>
        <v>-1.0256613756613757</v>
      </c>
      <c r="M94" s="509">
        <f t="shared" si="62"/>
        <v>0.52486772486772493</v>
      </c>
      <c r="N94" s="509">
        <f t="shared" si="62"/>
        <v>2.4074074074074074E-2</v>
      </c>
      <c r="O94" s="510">
        <f t="shared" si="58"/>
        <v>-0.5007936507936509</v>
      </c>
      <c r="P94" s="509">
        <f t="shared" si="63"/>
        <v>0</v>
      </c>
      <c r="Q94" s="511">
        <f t="shared" si="63"/>
        <v>0</v>
      </c>
      <c r="R94" s="512">
        <f t="shared" si="59"/>
        <v>0</v>
      </c>
    </row>
    <row r="95" spans="1:18" ht="15" thickBot="1" x14ac:dyDescent="0.4">
      <c r="A95" s="767"/>
      <c r="B95" s="769"/>
      <c r="C95" s="488" t="s">
        <v>34</v>
      </c>
      <c r="D95" s="513">
        <f t="shared" si="41"/>
        <v>2.2306878306878311</v>
      </c>
      <c r="E95" s="514">
        <f t="shared" si="42"/>
        <v>7.2222222222222215E-2</v>
      </c>
      <c r="F95" s="515">
        <f t="shared" si="43"/>
        <v>-2.1584656084656086</v>
      </c>
      <c r="G95" s="516">
        <f t="shared" si="60"/>
        <v>0.65608465608465605</v>
      </c>
      <c r="H95" s="517">
        <f t="shared" si="60"/>
        <v>2.4074074074074074E-2</v>
      </c>
      <c r="I95" s="518">
        <f t="shared" si="56"/>
        <v>-0.63201058201058202</v>
      </c>
      <c r="J95" s="517">
        <f t="shared" si="61"/>
        <v>1.0497354497354499</v>
      </c>
      <c r="K95" s="517">
        <f t="shared" si="61"/>
        <v>2.4074074074074074E-2</v>
      </c>
      <c r="L95" s="518">
        <f t="shared" si="57"/>
        <v>-1.0256613756613757</v>
      </c>
      <c r="M95" s="517">
        <f t="shared" si="62"/>
        <v>0.52486772486772493</v>
      </c>
      <c r="N95" s="517">
        <f t="shared" si="62"/>
        <v>2.4074074074074074E-2</v>
      </c>
      <c r="O95" s="518">
        <f t="shared" si="58"/>
        <v>-0.5007936507936509</v>
      </c>
      <c r="P95" s="517">
        <f t="shared" si="63"/>
        <v>0</v>
      </c>
      <c r="Q95" s="519">
        <f t="shared" si="63"/>
        <v>0</v>
      </c>
      <c r="R95" s="520">
        <f t="shared" si="59"/>
        <v>0</v>
      </c>
    </row>
    <row r="96" spans="1:18" x14ac:dyDescent="0.35">
      <c r="A96" s="766" t="s">
        <v>191</v>
      </c>
      <c r="B96" s="768" t="s">
        <v>13</v>
      </c>
      <c r="C96" s="475" t="s">
        <v>25</v>
      </c>
      <c r="D96" s="476">
        <f t="shared" si="41"/>
        <v>0</v>
      </c>
      <c r="E96" s="477">
        <f t="shared" si="42"/>
        <v>0</v>
      </c>
      <c r="F96" s="478">
        <f t="shared" si="43"/>
        <v>0</v>
      </c>
      <c r="G96" s="495">
        <v>0</v>
      </c>
      <c r="H96" s="496">
        <f>(G66+I66/2)*((G45-H45)*(1+$S$45))*Faktory!$D$10</f>
        <v>0</v>
      </c>
      <c r="I96" s="414">
        <f>H96</f>
        <v>0</v>
      </c>
      <c r="J96" s="496">
        <v>0</v>
      </c>
      <c r="K96" s="496">
        <f>(J66+L66/2)*((J45-K45)*(1+$S$45))*Faktory!$D$10</f>
        <v>0</v>
      </c>
      <c r="L96" s="414">
        <f>K96</f>
        <v>0</v>
      </c>
      <c r="M96" s="496">
        <v>0</v>
      </c>
      <c r="N96" s="496">
        <f>(M66+O66/2)*((M45-N45)*(1+$S$45))*Faktory!$D$10</f>
        <v>0</v>
      </c>
      <c r="O96" s="414">
        <f>N96</f>
        <v>0</v>
      </c>
      <c r="P96" s="496">
        <v>0</v>
      </c>
      <c r="Q96" s="497">
        <f>(P66+R66/2)*((P45-Q45)*(1+$S$45))*Faktory!$D$10</f>
        <v>0</v>
      </c>
      <c r="R96" s="498">
        <f>Q96</f>
        <v>0</v>
      </c>
    </row>
    <row r="97" spans="1:18" x14ac:dyDescent="0.35">
      <c r="A97" s="766"/>
      <c r="B97" s="768"/>
      <c r="C97" s="475" t="s">
        <v>26</v>
      </c>
      <c r="D97" s="476">
        <f t="shared" si="41"/>
        <v>0</v>
      </c>
      <c r="E97" s="477">
        <f t="shared" si="42"/>
        <v>0</v>
      </c>
      <c r="F97" s="478">
        <f t="shared" si="43"/>
        <v>0</v>
      </c>
      <c r="G97" s="485">
        <v>0</v>
      </c>
      <c r="H97" s="486">
        <f>(G67+I67/2)*((G46-H46)*(1+$S$45))*Faktory!$D$10</f>
        <v>0</v>
      </c>
      <c r="I97" s="425">
        <f t="shared" ref="I97:I105" si="64">H97</f>
        <v>0</v>
      </c>
      <c r="J97" s="486">
        <v>0</v>
      </c>
      <c r="K97" s="486">
        <f>(J67+L67/2)*((J46-K46)*(1+$S$45))*Faktory!$D$10</f>
        <v>0</v>
      </c>
      <c r="L97" s="425">
        <f t="shared" ref="L97:L105" si="65">K97</f>
        <v>0</v>
      </c>
      <c r="M97" s="486">
        <v>0</v>
      </c>
      <c r="N97" s="486">
        <f>(M67+O67/2)*((M46-N46)*(1+$S$45))*Faktory!$D$10</f>
        <v>0</v>
      </c>
      <c r="O97" s="425">
        <f t="shared" ref="O97:O105" si="66">N97</f>
        <v>0</v>
      </c>
      <c r="P97" s="486">
        <v>0</v>
      </c>
      <c r="Q97" s="487">
        <f>(P67+R67/2)*((P46-Q46)*(1+$S$45))*Faktory!$D$10</f>
        <v>0</v>
      </c>
      <c r="R97" s="427">
        <f t="shared" ref="R97:R105" si="67">Q97</f>
        <v>0</v>
      </c>
    </row>
    <row r="98" spans="1:18" x14ac:dyDescent="0.35">
      <c r="A98" s="766"/>
      <c r="B98" s="768"/>
      <c r="C98" s="475" t="s">
        <v>27</v>
      </c>
      <c r="D98" s="476">
        <f t="shared" si="41"/>
        <v>0</v>
      </c>
      <c r="E98" s="477">
        <f t="shared" si="42"/>
        <v>0</v>
      </c>
      <c r="F98" s="478">
        <f t="shared" si="43"/>
        <v>0</v>
      </c>
      <c r="G98" s="485">
        <v>0</v>
      </c>
      <c r="H98" s="486">
        <f>(G68+I68/2)*((G47-H47)*(1+$S$45))*Faktory!$D$10</f>
        <v>0</v>
      </c>
      <c r="I98" s="425">
        <f t="shared" si="64"/>
        <v>0</v>
      </c>
      <c r="J98" s="486">
        <v>0</v>
      </c>
      <c r="K98" s="486">
        <f>(J68+L68/2)*((J47-K47)*(1+$S$45))*Faktory!$D$10</f>
        <v>0</v>
      </c>
      <c r="L98" s="425">
        <f t="shared" si="65"/>
        <v>0</v>
      </c>
      <c r="M98" s="486">
        <v>0</v>
      </c>
      <c r="N98" s="486">
        <f>(M68+O68/2)*((M47-N47)*(1+$S$45))*Faktory!$D$10</f>
        <v>0</v>
      </c>
      <c r="O98" s="425">
        <f t="shared" si="66"/>
        <v>0</v>
      </c>
      <c r="P98" s="486">
        <v>0</v>
      </c>
      <c r="Q98" s="487">
        <f>(P68+R68/2)*((P47-Q47)*(1+$S$45))*Faktory!$D$10</f>
        <v>0</v>
      </c>
      <c r="R98" s="427">
        <f t="shared" si="67"/>
        <v>0</v>
      </c>
    </row>
    <row r="99" spans="1:18" x14ac:dyDescent="0.35">
      <c r="A99" s="766"/>
      <c r="B99" s="768"/>
      <c r="C99" s="475" t="s">
        <v>28</v>
      </c>
      <c r="D99" s="476">
        <f t="shared" si="41"/>
        <v>0</v>
      </c>
      <c r="E99" s="477">
        <f t="shared" si="42"/>
        <v>0</v>
      </c>
      <c r="F99" s="478">
        <f t="shared" si="43"/>
        <v>0</v>
      </c>
      <c r="G99" s="485">
        <v>0</v>
      </c>
      <c r="H99" s="486">
        <f>(G69+I69/2)*((G48-H48)*(1+$S$45))*Faktory!$D$10</f>
        <v>0</v>
      </c>
      <c r="I99" s="425">
        <f t="shared" si="64"/>
        <v>0</v>
      </c>
      <c r="J99" s="486">
        <v>0</v>
      </c>
      <c r="K99" s="486">
        <f>(J69+L69/2)*((J48-K48)*(1+$S$45))*Faktory!$D$10</f>
        <v>0</v>
      </c>
      <c r="L99" s="425">
        <f t="shared" si="65"/>
        <v>0</v>
      </c>
      <c r="M99" s="486">
        <v>0</v>
      </c>
      <c r="N99" s="486">
        <f>(M69+O69/2)*((M48-N48)*(1+$S$45))*Faktory!$D$10</f>
        <v>0</v>
      </c>
      <c r="O99" s="425">
        <f t="shared" si="66"/>
        <v>0</v>
      </c>
      <c r="P99" s="486">
        <v>0</v>
      </c>
      <c r="Q99" s="487">
        <f>(P69+R69/2)*((P48-Q48)*(1+$S$45))*Faktory!$D$10</f>
        <v>0</v>
      </c>
      <c r="R99" s="427">
        <f t="shared" si="67"/>
        <v>0</v>
      </c>
    </row>
    <row r="100" spans="1:18" x14ac:dyDescent="0.35">
      <c r="A100" s="766"/>
      <c r="B100" s="768"/>
      <c r="C100" s="475" t="s">
        <v>29</v>
      </c>
      <c r="D100" s="476">
        <f t="shared" si="41"/>
        <v>0</v>
      </c>
      <c r="E100" s="477">
        <f t="shared" si="42"/>
        <v>0</v>
      </c>
      <c r="F100" s="478">
        <f t="shared" si="43"/>
        <v>0</v>
      </c>
      <c r="G100" s="485">
        <v>0</v>
      </c>
      <c r="H100" s="486">
        <f>(G70+I70/2)*((G49-H49)*(1+$S$45))*Faktory!$D$10</f>
        <v>0</v>
      </c>
      <c r="I100" s="425">
        <f t="shared" si="64"/>
        <v>0</v>
      </c>
      <c r="J100" s="486">
        <v>0</v>
      </c>
      <c r="K100" s="486">
        <f>(J70+L70/2)*((J49-K49)*(1+$S$45))*Faktory!$D$10</f>
        <v>0</v>
      </c>
      <c r="L100" s="425">
        <f t="shared" si="65"/>
        <v>0</v>
      </c>
      <c r="M100" s="486">
        <v>0</v>
      </c>
      <c r="N100" s="486">
        <f>(M70+O70/2)*((M49-N49)*(1+$S$45))*Faktory!$D$10</f>
        <v>0</v>
      </c>
      <c r="O100" s="425">
        <f t="shared" si="66"/>
        <v>0</v>
      </c>
      <c r="P100" s="486">
        <v>0</v>
      </c>
      <c r="Q100" s="487">
        <f>(P70+R70/2)*((P49-Q49)*(1+$S$45))*Faktory!$D$10</f>
        <v>0</v>
      </c>
      <c r="R100" s="427">
        <f t="shared" si="67"/>
        <v>0</v>
      </c>
    </row>
    <row r="101" spans="1:18" x14ac:dyDescent="0.35">
      <c r="A101" s="766"/>
      <c r="B101" s="768"/>
      <c r="C101" s="475" t="s">
        <v>30</v>
      </c>
      <c r="D101" s="476">
        <f t="shared" si="41"/>
        <v>0</v>
      </c>
      <c r="E101" s="477">
        <f t="shared" si="42"/>
        <v>0</v>
      </c>
      <c r="F101" s="478">
        <f t="shared" si="43"/>
        <v>0</v>
      </c>
      <c r="G101" s="485">
        <v>0</v>
      </c>
      <c r="H101" s="486">
        <f>(G71+I71/2)*((G50-H50)*(1+$S$45))*Faktory!$D$10</f>
        <v>0</v>
      </c>
      <c r="I101" s="425">
        <f t="shared" si="64"/>
        <v>0</v>
      </c>
      <c r="J101" s="486">
        <v>0</v>
      </c>
      <c r="K101" s="486">
        <f>(J71+L71/2)*((J50-K50)*(1+$S$45))*Faktory!$D$10</f>
        <v>0</v>
      </c>
      <c r="L101" s="425">
        <f t="shared" si="65"/>
        <v>0</v>
      </c>
      <c r="M101" s="486">
        <v>0</v>
      </c>
      <c r="N101" s="486">
        <f>(M71+O71/2)*((M50-N50)*(1+$S$45))*Faktory!$D$10</f>
        <v>0</v>
      </c>
      <c r="O101" s="425">
        <f t="shared" si="66"/>
        <v>0</v>
      </c>
      <c r="P101" s="486">
        <v>0</v>
      </c>
      <c r="Q101" s="487">
        <f>(P71+R71/2)*((P50-Q50)*(1+$S$45))*Faktory!$D$10</f>
        <v>0</v>
      </c>
      <c r="R101" s="427">
        <f t="shared" si="67"/>
        <v>0</v>
      </c>
    </row>
    <row r="102" spans="1:18" x14ac:dyDescent="0.35">
      <c r="A102" s="766"/>
      <c r="B102" s="768"/>
      <c r="C102" s="475" t="s">
        <v>31</v>
      </c>
      <c r="D102" s="476">
        <f t="shared" si="41"/>
        <v>0</v>
      </c>
      <c r="E102" s="477">
        <f t="shared" si="42"/>
        <v>0</v>
      </c>
      <c r="F102" s="478">
        <f t="shared" si="43"/>
        <v>0</v>
      </c>
      <c r="G102" s="485">
        <v>0</v>
      </c>
      <c r="H102" s="486">
        <f>(G72+I72/2)*((G51-H51)*(1+$S$45))*Faktory!$D$10</f>
        <v>0</v>
      </c>
      <c r="I102" s="425">
        <f t="shared" si="64"/>
        <v>0</v>
      </c>
      <c r="J102" s="486">
        <v>0</v>
      </c>
      <c r="K102" s="486">
        <f>(J72+L72/2)*((J51-K51)*(1+$S$45))*Faktory!$D$10</f>
        <v>0</v>
      </c>
      <c r="L102" s="425">
        <f t="shared" si="65"/>
        <v>0</v>
      </c>
      <c r="M102" s="486">
        <v>0</v>
      </c>
      <c r="N102" s="486">
        <f>(M72+O72/2)*((M51-N51)*(1+$S$45))*Faktory!$D$10</f>
        <v>0</v>
      </c>
      <c r="O102" s="425">
        <f t="shared" si="66"/>
        <v>0</v>
      </c>
      <c r="P102" s="486">
        <v>0</v>
      </c>
      <c r="Q102" s="487">
        <f>(P72+R72/2)*((P51-Q51)*(1+$S$45))*Faktory!$D$10</f>
        <v>0</v>
      </c>
      <c r="R102" s="427">
        <f t="shared" si="67"/>
        <v>0</v>
      </c>
    </row>
    <row r="103" spans="1:18" x14ac:dyDescent="0.35">
      <c r="A103" s="766"/>
      <c r="B103" s="768"/>
      <c r="C103" s="475" t="s">
        <v>32</v>
      </c>
      <c r="D103" s="476">
        <f t="shared" si="41"/>
        <v>0</v>
      </c>
      <c r="E103" s="477">
        <f t="shared" si="42"/>
        <v>0</v>
      </c>
      <c r="F103" s="478">
        <f t="shared" si="43"/>
        <v>0</v>
      </c>
      <c r="G103" s="485">
        <v>0</v>
      </c>
      <c r="H103" s="486">
        <f>(G73+I73/2)*((G52-H52)*(1+$S$45))*Faktory!$D$10</f>
        <v>0</v>
      </c>
      <c r="I103" s="425">
        <f t="shared" si="64"/>
        <v>0</v>
      </c>
      <c r="J103" s="486">
        <v>0</v>
      </c>
      <c r="K103" s="486">
        <f>(J73+L73/2)*((J52-K52)*(1+$S$45))*Faktory!$D$10</f>
        <v>0</v>
      </c>
      <c r="L103" s="425">
        <f t="shared" si="65"/>
        <v>0</v>
      </c>
      <c r="M103" s="486">
        <v>0</v>
      </c>
      <c r="N103" s="486">
        <f>(M73+O73/2)*((M52-N52)*(1+$S$45))*Faktory!$D$10</f>
        <v>0</v>
      </c>
      <c r="O103" s="425">
        <f t="shared" si="66"/>
        <v>0</v>
      </c>
      <c r="P103" s="486">
        <v>0</v>
      </c>
      <c r="Q103" s="487">
        <f>(P73+R73/2)*((P52-Q52)*(1+$S$45))*Faktory!$D$10</f>
        <v>0</v>
      </c>
      <c r="R103" s="427">
        <f t="shared" si="67"/>
        <v>0</v>
      </c>
    </row>
    <row r="104" spans="1:18" x14ac:dyDescent="0.35">
      <c r="A104" s="766"/>
      <c r="B104" s="768"/>
      <c r="C104" s="475" t="s">
        <v>33</v>
      </c>
      <c r="D104" s="476">
        <f t="shared" si="41"/>
        <v>0</v>
      </c>
      <c r="E104" s="477">
        <f t="shared" si="42"/>
        <v>0</v>
      </c>
      <c r="F104" s="478">
        <f t="shared" si="43"/>
        <v>0</v>
      </c>
      <c r="G104" s="485">
        <v>0</v>
      </c>
      <c r="H104" s="486">
        <f>(G74+I74/2)*((G53-H53)*(1+$S$45))*Faktory!$D$10</f>
        <v>0</v>
      </c>
      <c r="I104" s="425">
        <f t="shared" si="64"/>
        <v>0</v>
      </c>
      <c r="J104" s="486">
        <v>0</v>
      </c>
      <c r="K104" s="486">
        <f>(J74+L74/2)*((J53-K53)*(1+$S$45))*Faktory!$D$10</f>
        <v>0</v>
      </c>
      <c r="L104" s="425">
        <f t="shared" si="65"/>
        <v>0</v>
      </c>
      <c r="M104" s="486">
        <v>0</v>
      </c>
      <c r="N104" s="486">
        <f>(M74+O74/2)*((M53-N53)*(1+$S$45))*Faktory!$D$10</f>
        <v>0</v>
      </c>
      <c r="O104" s="425">
        <f t="shared" si="66"/>
        <v>0</v>
      </c>
      <c r="P104" s="486">
        <v>0</v>
      </c>
      <c r="Q104" s="487">
        <f>(P74+R74/2)*((P53-Q53)*(1+$S$45))*Faktory!$D$10</f>
        <v>0</v>
      </c>
      <c r="R104" s="427">
        <f t="shared" si="67"/>
        <v>0</v>
      </c>
    </row>
    <row r="105" spans="1:18" ht="15" thickBot="1" x14ac:dyDescent="0.4">
      <c r="A105" s="767"/>
      <c r="B105" s="769"/>
      <c r="C105" s="488" t="s">
        <v>34</v>
      </c>
      <c r="D105" s="489">
        <f t="shared" si="41"/>
        <v>0</v>
      </c>
      <c r="E105" s="490">
        <f t="shared" si="42"/>
        <v>0</v>
      </c>
      <c r="F105" s="491">
        <f t="shared" si="43"/>
        <v>0</v>
      </c>
      <c r="G105" s="492">
        <v>0</v>
      </c>
      <c r="H105" s="493">
        <f>(G75+I75/2)*((G54-H54)*(1+$S$45))*Faktory!$D$10</f>
        <v>0</v>
      </c>
      <c r="I105" s="434">
        <f t="shared" si="64"/>
        <v>0</v>
      </c>
      <c r="J105" s="493">
        <v>0</v>
      </c>
      <c r="K105" s="493">
        <f>(J75+L75/2)*((J54-K54)*(1+$S$45))*Faktory!$D$10</f>
        <v>0</v>
      </c>
      <c r="L105" s="434">
        <f t="shared" si="65"/>
        <v>0</v>
      </c>
      <c r="M105" s="493">
        <v>0</v>
      </c>
      <c r="N105" s="493">
        <f>(M75+O75/2)*((M54-N54)*(1+$S$45))*Faktory!$D$10</f>
        <v>0</v>
      </c>
      <c r="O105" s="434">
        <f t="shared" si="66"/>
        <v>0</v>
      </c>
      <c r="P105" s="493">
        <v>0</v>
      </c>
      <c r="Q105" s="494">
        <f>(P75+R75/2)*((P54-Q54)*(1+$S$45))*Faktory!$D$10</f>
        <v>0</v>
      </c>
      <c r="R105" s="436">
        <f t="shared" si="67"/>
        <v>0</v>
      </c>
    </row>
    <row r="106" spans="1:18" x14ac:dyDescent="0.35">
      <c r="A106" s="766" t="s">
        <v>194</v>
      </c>
      <c r="B106" s="768" t="s">
        <v>13</v>
      </c>
      <c r="C106" s="475" t="s">
        <v>25</v>
      </c>
      <c r="D106" s="476">
        <f t="shared" ref="D106:D135" si="68">G106+J106+M106+P106</f>
        <v>0</v>
      </c>
      <c r="E106" s="477">
        <f t="shared" ref="E106:E135" si="69">H106+K106+N106+Q106</f>
        <v>0</v>
      </c>
      <c r="F106" s="478">
        <f>E106-D106</f>
        <v>0</v>
      </c>
      <c r="G106" s="495">
        <f t="shared" ref="G106:H115" si="70">G5*G15</f>
        <v>0</v>
      </c>
      <c r="H106" s="496">
        <f t="shared" si="70"/>
        <v>0</v>
      </c>
      <c r="I106" s="414">
        <f>H106-G106</f>
        <v>0</v>
      </c>
      <c r="J106" s="496">
        <f t="shared" ref="J106:K115" si="71">J5*J15</f>
        <v>0</v>
      </c>
      <c r="K106" s="496">
        <f t="shared" si="71"/>
        <v>0</v>
      </c>
      <c r="L106" s="414">
        <f t="shared" ref="L106:L115" si="72">K106-J106</f>
        <v>0</v>
      </c>
      <c r="M106" s="496">
        <f t="shared" ref="M106:N115" si="73">M5*M15</f>
        <v>0</v>
      </c>
      <c r="N106" s="496">
        <f t="shared" si="73"/>
        <v>0</v>
      </c>
      <c r="O106" s="414">
        <f t="shared" ref="O106:O115" si="74">N106-M106</f>
        <v>0</v>
      </c>
      <c r="P106" s="496">
        <f t="shared" ref="P106:Q115" si="75">P5*P15</f>
        <v>0</v>
      </c>
      <c r="Q106" s="497">
        <f t="shared" si="75"/>
        <v>0</v>
      </c>
      <c r="R106" s="498">
        <f t="shared" ref="R106:R115" si="76">Q106-P106</f>
        <v>0</v>
      </c>
    </row>
    <row r="107" spans="1:18" x14ac:dyDescent="0.35">
      <c r="A107" s="766"/>
      <c r="B107" s="768"/>
      <c r="C107" s="475" t="s">
        <v>26</v>
      </c>
      <c r="D107" s="476">
        <f t="shared" si="68"/>
        <v>0</v>
      </c>
      <c r="E107" s="477">
        <f t="shared" si="69"/>
        <v>0</v>
      </c>
      <c r="F107" s="478">
        <f t="shared" ref="F107:F115" si="77">E107-D107</f>
        <v>0</v>
      </c>
      <c r="G107" s="485">
        <f t="shared" si="70"/>
        <v>0</v>
      </c>
      <c r="H107" s="486">
        <f t="shared" si="70"/>
        <v>0</v>
      </c>
      <c r="I107" s="425">
        <f t="shared" ref="I107:I115" si="78">H107-G107</f>
        <v>0</v>
      </c>
      <c r="J107" s="486">
        <f t="shared" si="71"/>
        <v>0</v>
      </c>
      <c r="K107" s="486">
        <f t="shared" si="71"/>
        <v>0</v>
      </c>
      <c r="L107" s="425">
        <f t="shared" si="72"/>
        <v>0</v>
      </c>
      <c r="M107" s="486">
        <f t="shared" si="73"/>
        <v>0</v>
      </c>
      <c r="N107" s="486">
        <f t="shared" si="73"/>
        <v>0</v>
      </c>
      <c r="O107" s="425">
        <f t="shared" si="74"/>
        <v>0</v>
      </c>
      <c r="P107" s="486">
        <f t="shared" si="75"/>
        <v>0</v>
      </c>
      <c r="Q107" s="487">
        <f t="shared" si="75"/>
        <v>0</v>
      </c>
      <c r="R107" s="427">
        <f t="shared" si="76"/>
        <v>0</v>
      </c>
    </row>
    <row r="108" spans="1:18" x14ac:dyDescent="0.35">
      <c r="A108" s="766"/>
      <c r="B108" s="768"/>
      <c r="C108" s="475" t="s">
        <v>27</v>
      </c>
      <c r="D108" s="476">
        <f t="shared" si="68"/>
        <v>0</v>
      </c>
      <c r="E108" s="477">
        <f t="shared" si="69"/>
        <v>0</v>
      </c>
      <c r="F108" s="478">
        <f t="shared" si="77"/>
        <v>0</v>
      </c>
      <c r="G108" s="485">
        <f t="shared" si="70"/>
        <v>0</v>
      </c>
      <c r="H108" s="486">
        <f t="shared" si="70"/>
        <v>0</v>
      </c>
      <c r="I108" s="425">
        <f t="shared" si="78"/>
        <v>0</v>
      </c>
      <c r="J108" s="486">
        <f t="shared" si="71"/>
        <v>0</v>
      </c>
      <c r="K108" s="486">
        <f t="shared" si="71"/>
        <v>0</v>
      </c>
      <c r="L108" s="425">
        <f t="shared" si="72"/>
        <v>0</v>
      </c>
      <c r="M108" s="486">
        <f t="shared" si="73"/>
        <v>0</v>
      </c>
      <c r="N108" s="486">
        <f t="shared" si="73"/>
        <v>0</v>
      </c>
      <c r="O108" s="425">
        <f t="shared" si="74"/>
        <v>0</v>
      </c>
      <c r="P108" s="486">
        <f t="shared" si="75"/>
        <v>0</v>
      </c>
      <c r="Q108" s="487">
        <f t="shared" si="75"/>
        <v>0</v>
      </c>
      <c r="R108" s="427">
        <f t="shared" si="76"/>
        <v>0</v>
      </c>
    </row>
    <row r="109" spans="1:18" x14ac:dyDescent="0.35">
      <c r="A109" s="766"/>
      <c r="B109" s="768"/>
      <c r="C109" s="475" t="s">
        <v>28</v>
      </c>
      <c r="D109" s="476">
        <f t="shared" si="68"/>
        <v>0</v>
      </c>
      <c r="E109" s="477">
        <f t="shared" si="69"/>
        <v>0</v>
      </c>
      <c r="F109" s="478">
        <f t="shared" si="77"/>
        <v>0</v>
      </c>
      <c r="G109" s="485">
        <f t="shared" si="70"/>
        <v>0</v>
      </c>
      <c r="H109" s="486">
        <f t="shared" si="70"/>
        <v>0</v>
      </c>
      <c r="I109" s="425">
        <f t="shared" si="78"/>
        <v>0</v>
      </c>
      <c r="J109" s="486">
        <f t="shared" si="71"/>
        <v>0</v>
      </c>
      <c r="K109" s="486">
        <f t="shared" si="71"/>
        <v>0</v>
      </c>
      <c r="L109" s="425">
        <f t="shared" si="72"/>
        <v>0</v>
      </c>
      <c r="M109" s="486">
        <f t="shared" si="73"/>
        <v>0</v>
      </c>
      <c r="N109" s="486">
        <f t="shared" si="73"/>
        <v>0</v>
      </c>
      <c r="O109" s="425">
        <f t="shared" si="74"/>
        <v>0</v>
      </c>
      <c r="P109" s="486">
        <f t="shared" si="75"/>
        <v>0</v>
      </c>
      <c r="Q109" s="487">
        <f t="shared" si="75"/>
        <v>0</v>
      </c>
      <c r="R109" s="427">
        <f t="shared" si="76"/>
        <v>0</v>
      </c>
    </row>
    <row r="110" spans="1:18" x14ac:dyDescent="0.35">
      <c r="A110" s="766"/>
      <c r="B110" s="768"/>
      <c r="C110" s="475" t="s">
        <v>29</v>
      </c>
      <c r="D110" s="476">
        <f t="shared" si="68"/>
        <v>0</v>
      </c>
      <c r="E110" s="477">
        <f t="shared" si="69"/>
        <v>0</v>
      </c>
      <c r="F110" s="478">
        <f t="shared" si="77"/>
        <v>0</v>
      </c>
      <c r="G110" s="485">
        <f t="shared" si="70"/>
        <v>0</v>
      </c>
      <c r="H110" s="486">
        <f t="shared" si="70"/>
        <v>0</v>
      </c>
      <c r="I110" s="425">
        <f t="shared" si="78"/>
        <v>0</v>
      </c>
      <c r="J110" s="486">
        <f t="shared" si="71"/>
        <v>0</v>
      </c>
      <c r="K110" s="486">
        <f t="shared" si="71"/>
        <v>0</v>
      </c>
      <c r="L110" s="425">
        <f t="shared" si="72"/>
        <v>0</v>
      </c>
      <c r="M110" s="486">
        <f t="shared" si="73"/>
        <v>0</v>
      </c>
      <c r="N110" s="486">
        <f t="shared" si="73"/>
        <v>0</v>
      </c>
      <c r="O110" s="425">
        <f t="shared" si="74"/>
        <v>0</v>
      </c>
      <c r="P110" s="486">
        <f t="shared" si="75"/>
        <v>0</v>
      </c>
      <c r="Q110" s="487">
        <f t="shared" si="75"/>
        <v>0</v>
      </c>
      <c r="R110" s="427">
        <f t="shared" si="76"/>
        <v>0</v>
      </c>
    </row>
    <row r="111" spans="1:18" x14ac:dyDescent="0.35">
      <c r="A111" s="766"/>
      <c r="B111" s="768"/>
      <c r="C111" s="475" t="s">
        <v>30</v>
      </c>
      <c r="D111" s="476">
        <f t="shared" si="68"/>
        <v>0</v>
      </c>
      <c r="E111" s="477">
        <f t="shared" si="69"/>
        <v>0</v>
      </c>
      <c r="F111" s="478">
        <f t="shared" si="77"/>
        <v>0</v>
      </c>
      <c r="G111" s="485">
        <f t="shared" si="70"/>
        <v>0</v>
      </c>
      <c r="H111" s="486">
        <f t="shared" si="70"/>
        <v>0</v>
      </c>
      <c r="I111" s="425">
        <f t="shared" si="78"/>
        <v>0</v>
      </c>
      <c r="J111" s="486">
        <f t="shared" si="71"/>
        <v>0</v>
      </c>
      <c r="K111" s="486">
        <f t="shared" si="71"/>
        <v>0</v>
      </c>
      <c r="L111" s="425">
        <f t="shared" si="72"/>
        <v>0</v>
      </c>
      <c r="M111" s="486">
        <f t="shared" si="73"/>
        <v>0</v>
      </c>
      <c r="N111" s="486">
        <f t="shared" si="73"/>
        <v>0</v>
      </c>
      <c r="O111" s="425">
        <f t="shared" si="74"/>
        <v>0</v>
      </c>
      <c r="P111" s="486">
        <f t="shared" si="75"/>
        <v>0</v>
      </c>
      <c r="Q111" s="487">
        <f t="shared" si="75"/>
        <v>0</v>
      </c>
      <c r="R111" s="427">
        <f t="shared" si="76"/>
        <v>0</v>
      </c>
    </row>
    <row r="112" spans="1:18" x14ac:dyDescent="0.35">
      <c r="A112" s="766"/>
      <c r="B112" s="768"/>
      <c r="C112" s="475" t="s">
        <v>31</v>
      </c>
      <c r="D112" s="476">
        <f t="shared" si="68"/>
        <v>0</v>
      </c>
      <c r="E112" s="477">
        <f t="shared" si="69"/>
        <v>0</v>
      </c>
      <c r="F112" s="478">
        <f t="shared" si="77"/>
        <v>0</v>
      </c>
      <c r="G112" s="485">
        <f t="shared" si="70"/>
        <v>0</v>
      </c>
      <c r="H112" s="486">
        <f t="shared" si="70"/>
        <v>0</v>
      </c>
      <c r="I112" s="425">
        <f t="shared" si="78"/>
        <v>0</v>
      </c>
      <c r="J112" s="486">
        <f t="shared" si="71"/>
        <v>0</v>
      </c>
      <c r="K112" s="486">
        <f t="shared" si="71"/>
        <v>0</v>
      </c>
      <c r="L112" s="425">
        <f t="shared" si="72"/>
        <v>0</v>
      </c>
      <c r="M112" s="486">
        <f t="shared" si="73"/>
        <v>0</v>
      </c>
      <c r="N112" s="486">
        <f t="shared" si="73"/>
        <v>0</v>
      </c>
      <c r="O112" s="425">
        <f t="shared" si="74"/>
        <v>0</v>
      </c>
      <c r="P112" s="486">
        <f t="shared" si="75"/>
        <v>0</v>
      </c>
      <c r="Q112" s="487">
        <f t="shared" si="75"/>
        <v>0</v>
      </c>
      <c r="R112" s="427">
        <f t="shared" si="76"/>
        <v>0</v>
      </c>
    </row>
    <row r="113" spans="1:19" x14ac:dyDescent="0.35">
      <c r="A113" s="766"/>
      <c r="B113" s="768"/>
      <c r="C113" s="475" t="s">
        <v>32</v>
      </c>
      <c r="D113" s="476">
        <f t="shared" si="68"/>
        <v>0</v>
      </c>
      <c r="E113" s="477">
        <f t="shared" si="69"/>
        <v>0</v>
      </c>
      <c r="F113" s="478">
        <f t="shared" si="77"/>
        <v>0</v>
      </c>
      <c r="G113" s="485">
        <f t="shared" si="70"/>
        <v>0</v>
      </c>
      <c r="H113" s="486">
        <f t="shared" si="70"/>
        <v>0</v>
      </c>
      <c r="I113" s="425">
        <f t="shared" si="78"/>
        <v>0</v>
      </c>
      <c r="J113" s="486">
        <f t="shared" si="71"/>
        <v>0</v>
      </c>
      <c r="K113" s="486">
        <f t="shared" si="71"/>
        <v>0</v>
      </c>
      <c r="L113" s="425">
        <f t="shared" si="72"/>
        <v>0</v>
      </c>
      <c r="M113" s="486">
        <f t="shared" si="73"/>
        <v>0</v>
      </c>
      <c r="N113" s="486">
        <f t="shared" si="73"/>
        <v>0</v>
      </c>
      <c r="O113" s="425">
        <f t="shared" si="74"/>
        <v>0</v>
      </c>
      <c r="P113" s="486">
        <f t="shared" si="75"/>
        <v>0</v>
      </c>
      <c r="Q113" s="487">
        <f t="shared" si="75"/>
        <v>0</v>
      </c>
      <c r="R113" s="427">
        <f t="shared" si="76"/>
        <v>0</v>
      </c>
    </row>
    <row r="114" spans="1:19" x14ac:dyDescent="0.35">
      <c r="A114" s="766"/>
      <c r="B114" s="768"/>
      <c r="C114" s="475" t="s">
        <v>33</v>
      </c>
      <c r="D114" s="476">
        <f t="shared" si="68"/>
        <v>0</v>
      </c>
      <c r="E114" s="477">
        <f t="shared" si="69"/>
        <v>0</v>
      </c>
      <c r="F114" s="478">
        <f t="shared" si="77"/>
        <v>0</v>
      </c>
      <c r="G114" s="485">
        <f t="shared" si="70"/>
        <v>0</v>
      </c>
      <c r="H114" s="486">
        <f t="shared" si="70"/>
        <v>0</v>
      </c>
      <c r="I114" s="425">
        <f t="shared" si="78"/>
        <v>0</v>
      </c>
      <c r="J114" s="486">
        <f t="shared" si="71"/>
        <v>0</v>
      </c>
      <c r="K114" s="486">
        <f t="shared" si="71"/>
        <v>0</v>
      </c>
      <c r="L114" s="425">
        <f t="shared" si="72"/>
        <v>0</v>
      </c>
      <c r="M114" s="486">
        <f t="shared" si="73"/>
        <v>0</v>
      </c>
      <c r="N114" s="486">
        <f t="shared" si="73"/>
        <v>0</v>
      </c>
      <c r="O114" s="425">
        <f t="shared" si="74"/>
        <v>0</v>
      </c>
      <c r="P114" s="486">
        <f t="shared" si="75"/>
        <v>0</v>
      </c>
      <c r="Q114" s="487">
        <f t="shared" si="75"/>
        <v>0</v>
      </c>
      <c r="R114" s="427">
        <f t="shared" si="76"/>
        <v>0</v>
      </c>
    </row>
    <row r="115" spans="1:19" ht="15" thickBot="1" x14ac:dyDescent="0.4">
      <c r="A115" s="767"/>
      <c r="B115" s="769"/>
      <c r="C115" s="488" t="s">
        <v>34</v>
      </c>
      <c r="D115" s="489">
        <f t="shared" si="68"/>
        <v>0</v>
      </c>
      <c r="E115" s="490">
        <f t="shared" si="69"/>
        <v>0</v>
      </c>
      <c r="F115" s="491">
        <f t="shared" si="77"/>
        <v>0</v>
      </c>
      <c r="G115" s="492">
        <f t="shared" si="70"/>
        <v>0</v>
      </c>
      <c r="H115" s="493">
        <f t="shared" si="70"/>
        <v>0</v>
      </c>
      <c r="I115" s="434">
        <f t="shared" si="78"/>
        <v>0</v>
      </c>
      <c r="J115" s="493">
        <f t="shared" si="71"/>
        <v>0</v>
      </c>
      <c r="K115" s="493">
        <f t="shared" si="71"/>
        <v>0</v>
      </c>
      <c r="L115" s="434">
        <f t="shared" si="72"/>
        <v>0</v>
      </c>
      <c r="M115" s="493">
        <f t="shared" si="73"/>
        <v>0</v>
      </c>
      <c r="N115" s="493">
        <f t="shared" si="73"/>
        <v>0</v>
      </c>
      <c r="O115" s="434">
        <f t="shared" si="74"/>
        <v>0</v>
      </c>
      <c r="P115" s="493">
        <f t="shared" si="75"/>
        <v>0</v>
      </c>
      <c r="Q115" s="494">
        <f t="shared" si="75"/>
        <v>0</v>
      </c>
      <c r="R115" s="436">
        <f t="shared" si="76"/>
        <v>0</v>
      </c>
    </row>
    <row r="116" spans="1:19" x14ac:dyDescent="0.35">
      <c r="A116" s="766" t="s">
        <v>189</v>
      </c>
      <c r="B116" s="768" t="s">
        <v>13</v>
      </c>
      <c r="C116" s="475" t="s">
        <v>25</v>
      </c>
      <c r="D116" s="476">
        <f t="shared" si="68"/>
        <v>0</v>
      </c>
      <c r="E116" s="477">
        <f t="shared" si="69"/>
        <v>0</v>
      </c>
      <c r="F116" s="478">
        <f t="shared" ref="F116:F135" si="79">I116+L116+O116+R116</f>
        <v>0</v>
      </c>
      <c r="G116" s="495">
        <f t="shared" ref="G116:H125" si="80">G5*G25</f>
        <v>0</v>
      </c>
      <c r="H116" s="496">
        <f t="shared" si="80"/>
        <v>0</v>
      </c>
      <c r="I116" s="414">
        <f>H116-G116</f>
        <v>0</v>
      </c>
      <c r="J116" s="496">
        <f t="shared" ref="J116:K125" si="81">J5*J25</f>
        <v>0</v>
      </c>
      <c r="K116" s="496">
        <f t="shared" si="81"/>
        <v>0</v>
      </c>
      <c r="L116" s="414">
        <f>K116-J116</f>
        <v>0</v>
      </c>
      <c r="M116" s="496">
        <f t="shared" ref="M116:N125" si="82">M5*M25</f>
        <v>0</v>
      </c>
      <c r="N116" s="496">
        <f t="shared" si="82"/>
        <v>0</v>
      </c>
      <c r="O116" s="414">
        <f>N116-M116</f>
        <v>0</v>
      </c>
      <c r="P116" s="496">
        <f t="shared" ref="P116:Q125" si="83">P5*P25</f>
        <v>0</v>
      </c>
      <c r="Q116" s="497">
        <f t="shared" si="83"/>
        <v>0</v>
      </c>
      <c r="R116" s="498">
        <f>Q116-P116</f>
        <v>0</v>
      </c>
    </row>
    <row r="117" spans="1:19" x14ac:dyDescent="0.35">
      <c r="A117" s="766"/>
      <c r="B117" s="768"/>
      <c r="C117" s="475" t="s">
        <v>26</v>
      </c>
      <c r="D117" s="476">
        <f t="shared" si="68"/>
        <v>0</v>
      </c>
      <c r="E117" s="477">
        <f t="shared" si="69"/>
        <v>0</v>
      </c>
      <c r="F117" s="478">
        <f t="shared" si="79"/>
        <v>0</v>
      </c>
      <c r="G117" s="485">
        <f t="shared" si="80"/>
        <v>0</v>
      </c>
      <c r="H117" s="486">
        <f t="shared" si="80"/>
        <v>0</v>
      </c>
      <c r="I117" s="425">
        <f t="shared" ref="I117:I125" si="84">H117-G117</f>
        <v>0</v>
      </c>
      <c r="J117" s="486">
        <f t="shared" si="81"/>
        <v>0</v>
      </c>
      <c r="K117" s="486">
        <f t="shared" si="81"/>
        <v>0</v>
      </c>
      <c r="L117" s="425">
        <f t="shared" ref="L117:L125" si="85">K117-J117</f>
        <v>0</v>
      </c>
      <c r="M117" s="486">
        <f t="shared" si="82"/>
        <v>0</v>
      </c>
      <c r="N117" s="486">
        <f t="shared" si="82"/>
        <v>0</v>
      </c>
      <c r="O117" s="425">
        <f t="shared" ref="O117:O125" si="86">N117-M117</f>
        <v>0</v>
      </c>
      <c r="P117" s="486">
        <f t="shared" si="83"/>
        <v>0</v>
      </c>
      <c r="Q117" s="487">
        <f t="shared" si="83"/>
        <v>0</v>
      </c>
      <c r="R117" s="427">
        <f t="shared" ref="R117:R125" si="87">Q117-P117</f>
        <v>0</v>
      </c>
    </row>
    <row r="118" spans="1:19" x14ac:dyDescent="0.35">
      <c r="A118" s="766"/>
      <c r="B118" s="768"/>
      <c r="C118" s="475" t="s">
        <v>27</v>
      </c>
      <c r="D118" s="476">
        <f t="shared" si="68"/>
        <v>0</v>
      </c>
      <c r="E118" s="477">
        <f t="shared" si="69"/>
        <v>0</v>
      </c>
      <c r="F118" s="478">
        <f t="shared" si="79"/>
        <v>0</v>
      </c>
      <c r="G118" s="485">
        <f t="shared" si="80"/>
        <v>0</v>
      </c>
      <c r="H118" s="486">
        <f t="shared" si="80"/>
        <v>0</v>
      </c>
      <c r="I118" s="425">
        <f t="shared" si="84"/>
        <v>0</v>
      </c>
      <c r="J118" s="486">
        <f t="shared" si="81"/>
        <v>0</v>
      </c>
      <c r="K118" s="486">
        <f t="shared" si="81"/>
        <v>0</v>
      </c>
      <c r="L118" s="425">
        <f t="shared" si="85"/>
        <v>0</v>
      </c>
      <c r="M118" s="486">
        <f t="shared" si="82"/>
        <v>0</v>
      </c>
      <c r="N118" s="486">
        <f t="shared" si="82"/>
        <v>0</v>
      </c>
      <c r="O118" s="425">
        <f t="shared" si="86"/>
        <v>0</v>
      </c>
      <c r="P118" s="486">
        <f t="shared" si="83"/>
        <v>0</v>
      </c>
      <c r="Q118" s="487">
        <f t="shared" si="83"/>
        <v>0</v>
      </c>
      <c r="R118" s="427">
        <f t="shared" si="87"/>
        <v>0</v>
      </c>
    </row>
    <row r="119" spans="1:19" x14ac:dyDescent="0.35">
      <c r="A119" s="766"/>
      <c r="B119" s="768"/>
      <c r="C119" s="475" t="s">
        <v>28</v>
      </c>
      <c r="D119" s="476">
        <f t="shared" si="68"/>
        <v>0</v>
      </c>
      <c r="E119" s="477">
        <f t="shared" si="69"/>
        <v>0</v>
      </c>
      <c r="F119" s="478">
        <f t="shared" si="79"/>
        <v>0</v>
      </c>
      <c r="G119" s="485">
        <f t="shared" si="80"/>
        <v>0</v>
      </c>
      <c r="H119" s="486">
        <f t="shared" si="80"/>
        <v>0</v>
      </c>
      <c r="I119" s="425">
        <f t="shared" si="84"/>
        <v>0</v>
      </c>
      <c r="J119" s="486">
        <f t="shared" si="81"/>
        <v>0</v>
      </c>
      <c r="K119" s="486">
        <f t="shared" si="81"/>
        <v>0</v>
      </c>
      <c r="L119" s="425">
        <f t="shared" si="85"/>
        <v>0</v>
      </c>
      <c r="M119" s="486">
        <f t="shared" si="82"/>
        <v>0</v>
      </c>
      <c r="N119" s="486">
        <f t="shared" si="82"/>
        <v>0</v>
      </c>
      <c r="O119" s="425">
        <f t="shared" si="86"/>
        <v>0</v>
      </c>
      <c r="P119" s="486">
        <f t="shared" si="83"/>
        <v>0</v>
      </c>
      <c r="Q119" s="487">
        <f t="shared" si="83"/>
        <v>0</v>
      </c>
      <c r="R119" s="427">
        <f t="shared" si="87"/>
        <v>0</v>
      </c>
    </row>
    <row r="120" spans="1:19" x14ac:dyDescent="0.35">
      <c r="A120" s="766"/>
      <c r="B120" s="768"/>
      <c r="C120" s="475" t="s">
        <v>29</v>
      </c>
      <c r="D120" s="476">
        <f t="shared" si="68"/>
        <v>0</v>
      </c>
      <c r="E120" s="477">
        <f t="shared" si="69"/>
        <v>0</v>
      </c>
      <c r="F120" s="478">
        <f t="shared" si="79"/>
        <v>0</v>
      </c>
      <c r="G120" s="485">
        <f t="shared" si="80"/>
        <v>0</v>
      </c>
      <c r="H120" s="486">
        <f t="shared" si="80"/>
        <v>0</v>
      </c>
      <c r="I120" s="425">
        <f t="shared" si="84"/>
        <v>0</v>
      </c>
      <c r="J120" s="486">
        <f t="shared" si="81"/>
        <v>0</v>
      </c>
      <c r="K120" s="486">
        <f t="shared" si="81"/>
        <v>0</v>
      </c>
      <c r="L120" s="425">
        <f t="shared" si="85"/>
        <v>0</v>
      </c>
      <c r="M120" s="486">
        <f t="shared" si="82"/>
        <v>0</v>
      </c>
      <c r="N120" s="486">
        <f t="shared" si="82"/>
        <v>0</v>
      </c>
      <c r="O120" s="425">
        <f t="shared" si="86"/>
        <v>0</v>
      </c>
      <c r="P120" s="486">
        <f t="shared" si="83"/>
        <v>0</v>
      </c>
      <c r="Q120" s="487">
        <f t="shared" si="83"/>
        <v>0</v>
      </c>
      <c r="R120" s="427">
        <f t="shared" si="87"/>
        <v>0</v>
      </c>
    </row>
    <row r="121" spans="1:19" x14ac:dyDescent="0.35">
      <c r="A121" s="766"/>
      <c r="B121" s="768"/>
      <c r="C121" s="475" t="s">
        <v>30</v>
      </c>
      <c r="D121" s="476">
        <f t="shared" si="68"/>
        <v>0</v>
      </c>
      <c r="E121" s="477">
        <f t="shared" si="69"/>
        <v>0</v>
      </c>
      <c r="F121" s="478">
        <f t="shared" si="79"/>
        <v>0</v>
      </c>
      <c r="G121" s="485">
        <f t="shared" si="80"/>
        <v>0</v>
      </c>
      <c r="H121" s="486">
        <f t="shared" si="80"/>
        <v>0</v>
      </c>
      <c r="I121" s="425">
        <f t="shared" si="84"/>
        <v>0</v>
      </c>
      <c r="J121" s="486">
        <f t="shared" si="81"/>
        <v>0</v>
      </c>
      <c r="K121" s="486">
        <f t="shared" si="81"/>
        <v>0</v>
      </c>
      <c r="L121" s="425">
        <f t="shared" si="85"/>
        <v>0</v>
      </c>
      <c r="M121" s="486">
        <f t="shared" si="82"/>
        <v>0</v>
      </c>
      <c r="N121" s="486">
        <f t="shared" si="82"/>
        <v>0</v>
      </c>
      <c r="O121" s="425">
        <f t="shared" si="86"/>
        <v>0</v>
      </c>
      <c r="P121" s="486">
        <f t="shared" si="83"/>
        <v>0</v>
      </c>
      <c r="Q121" s="487">
        <f t="shared" si="83"/>
        <v>0</v>
      </c>
      <c r="R121" s="427">
        <f t="shared" si="87"/>
        <v>0</v>
      </c>
    </row>
    <row r="122" spans="1:19" x14ac:dyDescent="0.35">
      <c r="A122" s="766"/>
      <c r="B122" s="768"/>
      <c r="C122" s="475" t="s">
        <v>31</v>
      </c>
      <c r="D122" s="476">
        <f t="shared" si="68"/>
        <v>0</v>
      </c>
      <c r="E122" s="477">
        <f t="shared" si="69"/>
        <v>0</v>
      </c>
      <c r="F122" s="478">
        <f t="shared" si="79"/>
        <v>0</v>
      </c>
      <c r="G122" s="485">
        <f t="shared" si="80"/>
        <v>0</v>
      </c>
      <c r="H122" s="486">
        <f t="shared" si="80"/>
        <v>0</v>
      </c>
      <c r="I122" s="425">
        <f t="shared" si="84"/>
        <v>0</v>
      </c>
      <c r="J122" s="486">
        <f t="shared" si="81"/>
        <v>0</v>
      </c>
      <c r="K122" s="486">
        <f t="shared" si="81"/>
        <v>0</v>
      </c>
      <c r="L122" s="425">
        <f t="shared" si="85"/>
        <v>0</v>
      </c>
      <c r="M122" s="486">
        <f t="shared" si="82"/>
        <v>0</v>
      </c>
      <c r="N122" s="486">
        <f t="shared" si="82"/>
        <v>0</v>
      </c>
      <c r="O122" s="425">
        <f t="shared" si="86"/>
        <v>0</v>
      </c>
      <c r="P122" s="486">
        <f t="shared" si="83"/>
        <v>0</v>
      </c>
      <c r="Q122" s="487">
        <f t="shared" si="83"/>
        <v>0</v>
      </c>
      <c r="R122" s="427">
        <f t="shared" si="87"/>
        <v>0</v>
      </c>
    </row>
    <row r="123" spans="1:19" x14ac:dyDescent="0.35">
      <c r="A123" s="766"/>
      <c r="B123" s="768"/>
      <c r="C123" s="475" t="s">
        <v>32</v>
      </c>
      <c r="D123" s="476">
        <f t="shared" si="68"/>
        <v>0</v>
      </c>
      <c r="E123" s="477">
        <f t="shared" si="69"/>
        <v>0</v>
      </c>
      <c r="F123" s="478">
        <f t="shared" si="79"/>
        <v>0</v>
      </c>
      <c r="G123" s="485">
        <f t="shared" si="80"/>
        <v>0</v>
      </c>
      <c r="H123" s="486">
        <f t="shared" si="80"/>
        <v>0</v>
      </c>
      <c r="I123" s="425">
        <f t="shared" si="84"/>
        <v>0</v>
      </c>
      <c r="J123" s="486">
        <f t="shared" si="81"/>
        <v>0</v>
      </c>
      <c r="K123" s="486">
        <f t="shared" si="81"/>
        <v>0</v>
      </c>
      <c r="L123" s="425">
        <f t="shared" si="85"/>
        <v>0</v>
      </c>
      <c r="M123" s="486">
        <f t="shared" si="82"/>
        <v>0</v>
      </c>
      <c r="N123" s="486">
        <f t="shared" si="82"/>
        <v>0</v>
      </c>
      <c r="O123" s="425">
        <f t="shared" si="86"/>
        <v>0</v>
      </c>
      <c r="P123" s="486">
        <f t="shared" si="83"/>
        <v>0</v>
      </c>
      <c r="Q123" s="487">
        <f t="shared" si="83"/>
        <v>0</v>
      </c>
      <c r="R123" s="427">
        <f t="shared" si="87"/>
        <v>0</v>
      </c>
    </row>
    <row r="124" spans="1:19" x14ac:dyDescent="0.35">
      <c r="A124" s="766"/>
      <c r="B124" s="768"/>
      <c r="C124" s="475" t="s">
        <v>33</v>
      </c>
      <c r="D124" s="476">
        <f t="shared" si="68"/>
        <v>0</v>
      </c>
      <c r="E124" s="477">
        <f t="shared" si="69"/>
        <v>0</v>
      </c>
      <c r="F124" s="478">
        <f t="shared" si="79"/>
        <v>0</v>
      </c>
      <c r="G124" s="485">
        <f t="shared" si="80"/>
        <v>0</v>
      </c>
      <c r="H124" s="486">
        <f t="shared" si="80"/>
        <v>0</v>
      </c>
      <c r="I124" s="425">
        <f t="shared" si="84"/>
        <v>0</v>
      </c>
      <c r="J124" s="486">
        <f t="shared" si="81"/>
        <v>0</v>
      </c>
      <c r="K124" s="486">
        <f t="shared" si="81"/>
        <v>0</v>
      </c>
      <c r="L124" s="425">
        <f t="shared" si="85"/>
        <v>0</v>
      </c>
      <c r="M124" s="486">
        <f t="shared" si="82"/>
        <v>0</v>
      </c>
      <c r="N124" s="486">
        <f t="shared" si="82"/>
        <v>0</v>
      </c>
      <c r="O124" s="425">
        <f t="shared" si="86"/>
        <v>0</v>
      </c>
      <c r="P124" s="486">
        <f t="shared" si="83"/>
        <v>0</v>
      </c>
      <c r="Q124" s="487">
        <f t="shared" si="83"/>
        <v>0</v>
      </c>
      <c r="R124" s="427">
        <f t="shared" si="87"/>
        <v>0</v>
      </c>
    </row>
    <row r="125" spans="1:19" ht="15" thickBot="1" x14ac:dyDescent="0.4">
      <c r="A125" s="767"/>
      <c r="B125" s="769"/>
      <c r="C125" s="488" t="s">
        <v>34</v>
      </c>
      <c r="D125" s="489">
        <f t="shared" si="68"/>
        <v>0</v>
      </c>
      <c r="E125" s="490">
        <f t="shared" si="69"/>
        <v>0</v>
      </c>
      <c r="F125" s="491">
        <f t="shared" si="79"/>
        <v>0</v>
      </c>
      <c r="G125" s="492">
        <f t="shared" si="80"/>
        <v>0</v>
      </c>
      <c r="H125" s="493">
        <f t="shared" si="80"/>
        <v>0</v>
      </c>
      <c r="I125" s="434">
        <f t="shared" si="84"/>
        <v>0</v>
      </c>
      <c r="J125" s="493">
        <f t="shared" si="81"/>
        <v>0</v>
      </c>
      <c r="K125" s="493">
        <f t="shared" si="81"/>
        <v>0</v>
      </c>
      <c r="L125" s="434">
        <f t="shared" si="85"/>
        <v>0</v>
      </c>
      <c r="M125" s="493">
        <f t="shared" si="82"/>
        <v>0</v>
      </c>
      <c r="N125" s="493">
        <f t="shared" si="82"/>
        <v>0</v>
      </c>
      <c r="O125" s="434">
        <f t="shared" si="86"/>
        <v>0</v>
      </c>
      <c r="P125" s="493">
        <f t="shared" si="83"/>
        <v>0</v>
      </c>
      <c r="Q125" s="494">
        <f t="shared" si="83"/>
        <v>0</v>
      </c>
      <c r="R125" s="436">
        <f t="shared" si="87"/>
        <v>0</v>
      </c>
    </row>
    <row r="126" spans="1:19" x14ac:dyDescent="0.35">
      <c r="A126" s="766" t="s">
        <v>39</v>
      </c>
      <c r="B126" s="768" t="s">
        <v>13</v>
      </c>
      <c r="C126" s="475" t="s">
        <v>25</v>
      </c>
      <c r="D126" s="476">
        <f t="shared" si="68"/>
        <v>0</v>
      </c>
      <c r="E126" s="477">
        <f t="shared" si="69"/>
        <v>0</v>
      </c>
      <c r="F126" s="478">
        <f t="shared" si="79"/>
        <v>0</v>
      </c>
      <c r="G126" s="495">
        <f>G55</f>
        <v>0</v>
      </c>
      <c r="H126" s="496">
        <f>H55*(1+$S$126)</f>
        <v>0</v>
      </c>
      <c r="I126" s="414">
        <f>H126-G126</f>
        <v>0</v>
      </c>
      <c r="J126" s="496">
        <f t="shared" ref="J126:J135" si="88">J55</f>
        <v>0</v>
      </c>
      <c r="K126" s="496">
        <f t="shared" ref="K126:K135" si="89">K55*(1+$S$126)</f>
        <v>0</v>
      </c>
      <c r="L126" s="414">
        <f>K126-J126</f>
        <v>0</v>
      </c>
      <c r="M126" s="496">
        <f t="shared" ref="M126" si="90">M55</f>
        <v>0</v>
      </c>
      <c r="N126" s="496">
        <f t="shared" ref="N126" si="91">N55*(1+$S$126)</f>
        <v>0</v>
      </c>
      <c r="O126" s="414">
        <f>N126-M126</f>
        <v>0</v>
      </c>
      <c r="P126" s="496">
        <f t="shared" ref="P126:P135" si="92">P55</f>
        <v>0</v>
      </c>
      <c r="Q126" s="497">
        <f t="shared" ref="Q126:Q135" si="93">Q55*(1+$S$126)</f>
        <v>0</v>
      </c>
      <c r="R126" s="498">
        <f>Q126-P126</f>
        <v>0</v>
      </c>
      <c r="S126" s="417">
        <f>'Analyza citlivosti - AgendovéIS'!H7</f>
        <v>0</v>
      </c>
    </row>
    <row r="127" spans="1:19" x14ac:dyDescent="0.35">
      <c r="A127" s="766"/>
      <c r="B127" s="768"/>
      <c r="C127" s="475" t="s">
        <v>26</v>
      </c>
      <c r="D127" s="476">
        <f t="shared" si="68"/>
        <v>0</v>
      </c>
      <c r="E127" s="477">
        <f t="shared" si="69"/>
        <v>204342.32946000004</v>
      </c>
      <c r="F127" s="478">
        <f t="shared" si="79"/>
        <v>204342.32946000004</v>
      </c>
      <c r="G127" s="485">
        <f t="shared" ref="G127:G135" si="94">G56</f>
        <v>0</v>
      </c>
      <c r="H127" s="486">
        <f t="shared" ref="H127:H135" si="95">H56*(1+$S$126)</f>
        <v>0</v>
      </c>
      <c r="I127" s="425">
        <f t="shared" ref="I127:I135" si="96">H127-G127</f>
        <v>0</v>
      </c>
      <c r="J127" s="486">
        <f t="shared" si="88"/>
        <v>0</v>
      </c>
      <c r="K127" s="486">
        <f t="shared" si="89"/>
        <v>0</v>
      </c>
      <c r="L127" s="425">
        <f t="shared" ref="L127:L135" si="97">K127-J127</f>
        <v>0</v>
      </c>
      <c r="M127" s="486">
        <f t="shared" ref="M127:M135" si="98">M56</f>
        <v>0</v>
      </c>
      <c r="N127" s="486">
        <f t="shared" ref="N127:N135" si="99">N56*(1+$S$126)</f>
        <v>204342.32946000004</v>
      </c>
      <c r="O127" s="425">
        <f t="shared" ref="O127:O135" si="100">N127-M127</f>
        <v>204342.32946000004</v>
      </c>
      <c r="P127" s="486">
        <f t="shared" si="92"/>
        <v>0</v>
      </c>
      <c r="Q127" s="487">
        <f t="shared" si="93"/>
        <v>0</v>
      </c>
      <c r="R127" s="427">
        <f t="shared" ref="R127:R135" si="101">Q127-P127</f>
        <v>0</v>
      </c>
    </row>
    <row r="128" spans="1:19" x14ac:dyDescent="0.35">
      <c r="A128" s="766"/>
      <c r="B128" s="768"/>
      <c r="C128" s="475" t="s">
        <v>27</v>
      </c>
      <c r="D128" s="476">
        <f t="shared" si="68"/>
        <v>0</v>
      </c>
      <c r="E128" s="477">
        <f t="shared" si="69"/>
        <v>306513.49419</v>
      </c>
      <c r="F128" s="478">
        <f t="shared" si="79"/>
        <v>306513.49419</v>
      </c>
      <c r="G128" s="485">
        <f t="shared" si="94"/>
        <v>0</v>
      </c>
      <c r="H128" s="486">
        <f t="shared" si="95"/>
        <v>0</v>
      </c>
      <c r="I128" s="425">
        <f t="shared" si="96"/>
        <v>0</v>
      </c>
      <c r="J128" s="486">
        <f t="shared" si="88"/>
        <v>0</v>
      </c>
      <c r="K128" s="486">
        <f t="shared" si="89"/>
        <v>0</v>
      </c>
      <c r="L128" s="425">
        <f t="shared" si="97"/>
        <v>0</v>
      </c>
      <c r="M128" s="486">
        <f t="shared" si="98"/>
        <v>0</v>
      </c>
      <c r="N128" s="486">
        <f t="shared" si="99"/>
        <v>306513.49419</v>
      </c>
      <c r="O128" s="425">
        <f t="shared" si="100"/>
        <v>306513.49419</v>
      </c>
      <c r="P128" s="486">
        <f t="shared" si="92"/>
        <v>0</v>
      </c>
      <c r="Q128" s="487">
        <f t="shared" si="93"/>
        <v>0</v>
      </c>
      <c r="R128" s="427">
        <f t="shared" si="101"/>
        <v>0</v>
      </c>
    </row>
    <row r="129" spans="1:18" x14ac:dyDescent="0.35">
      <c r="A129" s="766"/>
      <c r="B129" s="768"/>
      <c r="C129" s="475" t="s">
        <v>28</v>
      </c>
      <c r="D129" s="476">
        <f t="shared" si="68"/>
        <v>0</v>
      </c>
      <c r="E129" s="477">
        <f t="shared" si="69"/>
        <v>817369.31784000015</v>
      </c>
      <c r="F129" s="478">
        <f t="shared" si="79"/>
        <v>817369.31784000015</v>
      </c>
      <c r="G129" s="485">
        <f t="shared" si="94"/>
        <v>0</v>
      </c>
      <c r="H129" s="486">
        <f t="shared" si="95"/>
        <v>0</v>
      </c>
      <c r="I129" s="425">
        <f t="shared" si="96"/>
        <v>0</v>
      </c>
      <c r="J129" s="486">
        <f t="shared" si="88"/>
        <v>0</v>
      </c>
      <c r="K129" s="486">
        <f t="shared" si="89"/>
        <v>0</v>
      </c>
      <c r="L129" s="425">
        <f t="shared" si="97"/>
        <v>0</v>
      </c>
      <c r="M129" s="486">
        <f t="shared" si="98"/>
        <v>0</v>
      </c>
      <c r="N129" s="486">
        <f t="shared" si="99"/>
        <v>817369.31784000015</v>
      </c>
      <c r="O129" s="425">
        <f t="shared" si="100"/>
        <v>817369.31784000015</v>
      </c>
      <c r="P129" s="486">
        <f t="shared" si="92"/>
        <v>0</v>
      </c>
      <c r="Q129" s="487">
        <f t="shared" si="93"/>
        <v>0</v>
      </c>
      <c r="R129" s="427">
        <f t="shared" si="101"/>
        <v>0</v>
      </c>
    </row>
    <row r="130" spans="1:18" x14ac:dyDescent="0.35">
      <c r="A130" s="766"/>
      <c r="B130" s="768"/>
      <c r="C130" s="475" t="s">
        <v>29</v>
      </c>
      <c r="D130" s="476">
        <f t="shared" si="68"/>
        <v>0</v>
      </c>
      <c r="E130" s="477">
        <f t="shared" si="69"/>
        <v>2043423.2946000004</v>
      </c>
      <c r="F130" s="478">
        <f t="shared" si="79"/>
        <v>2043423.2946000004</v>
      </c>
      <c r="G130" s="485">
        <f t="shared" si="94"/>
        <v>0</v>
      </c>
      <c r="H130" s="486">
        <f t="shared" si="95"/>
        <v>0</v>
      </c>
      <c r="I130" s="425">
        <f t="shared" si="96"/>
        <v>0</v>
      </c>
      <c r="J130" s="486">
        <f t="shared" si="88"/>
        <v>0</v>
      </c>
      <c r="K130" s="486">
        <f t="shared" si="89"/>
        <v>0</v>
      </c>
      <c r="L130" s="425">
        <f t="shared" si="97"/>
        <v>0</v>
      </c>
      <c r="M130" s="486">
        <f t="shared" si="98"/>
        <v>0</v>
      </c>
      <c r="N130" s="486">
        <f t="shared" si="99"/>
        <v>2043423.2946000004</v>
      </c>
      <c r="O130" s="425">
        <f t="shared" si="100"/>
        <v>2043423.2946000004</v>
      </c>
      <c r="P130" s="486">
        <f t="shared" si="92"/>
        <v>0</v>
      </c>
      <c r="Q130" s="487">
        <f t="shared" si="93"/>
        <v>0</v>
      </c>
      <c r="R130" s="427">
        <f t="shared" si="101"/>
        <v>0</v>
      </c>
    </row>
    <row r="131" spans="1:18" x14ac:dyDescent="0.35">
      <c r="A131" s="766"/>
      <c r="B131" s="768"/>
      <c r="C131" s="475" t="s">
        <v>30</v>
      </c>
      <c r="D131" s="476">
        <f t="shared" si="68"/>
        <v>0</v>
      </c>
      <c r="E131" s="477">
        <f t="shared" si="69"/>
        <v>2452107.95352</v>
      </c>
      <c r="F131" s="478">
        <f t="shared" si="79"/>
        <v>2452107.95352</v>
      </c>
      <c r="G131" s="485">
        <f t="shared" si="94"/>
        <v>0</v>
      </c>
      <c r="H131" s="486">
        <f t="shared" si="95"/>
        <v>0</v>
      </c>
      <c r="I131" s="425">
        <f t="shared" si="96"/>
        <v>0</v>
      </c>
      <c r="J131" s="486">
        <f t="shared" si="88"/>
        <v>0</v>
      </c>
      <c r="K131" s="486">
        <f t="shared" si="89"/>
        <v>0</v>
      </c>
      <c r="L131" s="425">
        <f t="shared" si="97"/>
        <v>0</v>
      </c>
      <c r="M131" s="486">
        <f t="shared" si="98"/>
        <v>0</v>
      </c>
      <c r="N131" s="486">
        <f t="shared" si="99"/>
        <v>2452107.95352</v>
      </c>
      <c r="O131" s="425">
        <f t="shared" si="100"/>
        <v>2452107.95352</v>
      </c>
      <c r="P131" s="486">
        <f t="shared" si="92"/>
        <v>0</v>
      </c>
      <c r="Q131" s="487">
        <f t="shared" si="93"/>
        <v>0</v>
      </c>
      <c r="R131" s="427">
        <f t="shared" si="101"/>
        <v>0</v>
      </c>
    </row>
    <row r="132" spans="1:18" x14ac:dyDescent="0.35">
      <c r="A132" s="766"/>
      <c r="B132" s="768"/>
      <c r="C132" s="475" t="s">
        <v>31</v>
      </c>
      <c r="D132" s="476">
        <f t="shared" si="68"/>
        <v>0</v>
      </c>
      <c r="E132" s="477">
        <f t="shared" si="69"/>
        <v>3065134.9419000004</v>
      </c>
      <c r="F132" s="478">
        <f t="shared" si="79"/>
        <v>3065134.9419000004</v>
      </c>
      <c r="G132" s="485">
        <f t="shared" si="94"/>
        <v>0</v>
      </c>
      <c r="H132" s="486">
        <f t="shared" si="95"/>
        <v>0</v>
      </c>
      <c r="I132" s="425">
        <f t="shared" si="96"/>
        <v>0</v>
      </c>
      <c r="J132" s="486">
        <f t="shared" si="88"/>
        <v>0</v>
      </c>
      <c r="K132" s="486">
        <f t="shared" si="89"/>
        <v>0</v>
      </c>
      <c r="L132" s="425">
        <f t="shared" si="97"/>
        <v>0</v>
      </c>
      <c r="M132" s="486">
        <f t="shared" si="98"/>
        <v>0</v>
      </c>
      <c r="N132" s="486">
        <f t="shared" si="99"/>
        <v>3065134.9419000004</v>
      </c>
      <c r="O132" s="425">
        <f t="shared" si="100"/>
        <v>3065134.9419000004</v>
      </c>
      <c r="P132" s="486">
        <f t="shared" si="92"/>
        <v>0</v>
      </c>
      <c r="Q132" s="487">
        <f t="shared" si="93"/>
        <v>0</v>
      </c>
      <c r="R132" s="427">
        <f t="shared" si="101"/>
        <v>0</v>
      </c>
    </row>
    <row r="133" spans="1:18" x14ac:dyDescent="0.35">
      <c r="A133" s="766"/>
      <c r="B133" s="768"/>
      <c r="C133" s="475" t="s">
        <v>32</v>
      </c>
      <c r="D133" s="476">
        <f t="shared" si="68"/>
        <v>0</v>
      </c>
      <c r="E133" s="477">
        <f t="shared" si="69"/>
        <v>3167306.1066300003</v>
      </c>
      <c r="F133" s="478">
        <f t="shared" si="79"/>
        <v>3167306.1066300003</v>
      </c>
      <c r="G133" s="485">
        <f t="shared" si="94"/>
        <v>0</v>
      </c>
      <c r="H133" s="486">
        <f t="shared" si="95"/>
        <v>0</v>
      </c>
      <c r="I133" s="425">
        <f t="shared" si="96"/>
        <v>0</v>
      </c>
      <c r="J133" s="486">
        <f t="shared" si="88"/>
        <v>0</v>
      </c>
      <c r="K133" s="486">
        <f t="shared" si="89"/>
        <v>0</v>
      </c>
      <c r="L133" s="425">
        <f t="shared" si="97"/>
        <v>0</v>
      </c>
      <c r="M133" s="486">
        <f t="shared" si="98"/>
        <v>0</v>
      </c>
      <c r="N133" s="486">
        <f t="shared" si="99"/>
        <v>3167306.1066300003</v>
      </c>
      <c r="O133" s="425">
        <f t="shared" si="100"/>
        <v>3167306.1066300003</v>
      </c>
      <c r="P133" s="486">
        <f t="shared" si="92"/>
        <v>0</v>
      </c>
      <c r="Q133" s="487">
        <f t="shared" si="93"/>
        <v>0</v>
      </c>
      <c r="R133" s="427">
        <f t="shared" si="101"/>
        <v>0</v>
      </c>
    </row>
    <row r="134" spans="1:18" x14ac:dyDescent="0.35">
      <c r="A134" s="766"/>
      <c r="B134" s="768"/>
      <c r="C134" s="475" t="s">
        <v>33</v>
      </c>
      <c r="D134" s="476">
        <f t="shared" si="68"/>
        <v>0</v>
      </c>
      <c r="E134" s="477">
        <f t="shared" si="69"/>
        <v>4086846.5892000007</v>
      </c>
      <c r="F134" s="478">
        <f t="shared" si="79"/>
        <v>4086846.5892000007</v>
      </c>
      <c r="G134" s="485">
        <f t="shared" si="94"/>
        <v>0</v>
      </c>
      <c r="H134" s="486">
        <f t="shared" si="95"/>
        <v>0</v>
      </c>
      <c r="I134" s="425">
        <f t="shared" si="96"/>
        <v>0</v>
      </c>
      <c r="J134" s="486">
        <f t="shared" si="88"/>
        <v>0</v>
      </c>
      <c r="K134" s="486">
        <f t="shared" si="89"/>
        <v>0</v>
      </c>
      <c r="L134" s="425">
        <f t="shared" si="97"/>
        <v>0</v>
      </c>
      <c r="M134" s="486">
        <f t="shared" si="98"/>
        <v>0</v>
      </c>
      <c r="N134" s="486">
        <f t="shared" si="99"/>
        <v>4086846.5892000007</v>
      </c>
      <c r="O134" s="425">
        <f t="shared" si="100"/>
        <v>4086846.5892000007</v>
      </c>
      <c r="P134" s="486">
        <f t="shared" si="92"/>
        <v>0</v>
      </c>
      <c r="Q134" s="487">
        <f t="shared" si="93"/>
        <v>0</v>
      </c>
      <c r="R134" s="427">
        <f t="shared" si="101"/>
        <v>0</v>
      </c>
    </row>
    <row r="135" spans="1:18" ht="15" thickBot="1" x14ac:dyDescent="0.4">
      <c r="A135" s="767"/>
      <c r="B135" s="769"/>
      <c r="C135" s="488" t="s">
        <v>34</v>
      </c>
      <c r="D135" s="489">
        <f t="shared" si="68"/>
        <v>0</v>
      </c>
      <c r="E135" s="490">
        <f t="shared" si="69"/>
        <v>4291188.91866</v>
      </c>
      <c r="F135" s="491">
        <f t="shared" si="79"/>
        <v>4291188.91866</v>
      </c>
      <c r="G135" s="492">
        <f t="shared" si="94"/>
        <v>0</v>
      </c>
      <c r="H135" s="493">
        <f t="shared" si="95"/>
        <v>0</v>
      </c>
      <c r="I135" s="434">
        <f t="shared" si="96"/>
        <v>0</v>
      </c>
      <c r="J135" s="493">
        <f t="shared" si="88"/>
        <v>0</v>
      </c>
      <c r="K135" s="493">
        <f t="shared" si="89"/>
        <v>0</v>
      </c>
      <c r="L135" s="434">
        <f t="shared" si="97"/>
        <v>0</v>
      </c>
      <c r="M135" s="493">
        <f t="shared" si="98"/>
        <v>0</v>
      </c>
      <c r="N135" s="493">
        <f t="shared" si="99"/>
        <v>4291188.91866</v>
      </c>
      <c r="O135" s="434">
        <f t="shared" si="100"/>
        <v>4291188.91866</v>
      </c>
      <c r="P135" s="493">
        <f t="shared" si="92"/>
        <v>0</v>
      </c>
      <c r="Q135" s="494">
        <f t="shared" si="93"/>
        <v>0</v>
      </c>
      <c r="R135" s="436">
        <f t="shared" si="101"/>
        <v>0</v>
      </c>
    </row>
  </sheetData>
  <sheetProtection insertColumns="0" deleteColumns="0"/>
  <mergeCells count="39">
    <mergeCell ref="A25:A34"/>
    <mergeCell ref="B25:B34"/>
    <mergeCell ref="A35:A44"/>
    <mergeCell ref="B35:B44"/>
    <mergeCell ref="A55:A64"/>
    <mergeCell ref="B55:B64"/>
    <mergeCell ref="A45:A54"/>
    <mergeCell ref="B45:B54"/>
    <mergeCell ref="A5:A14"/>
    <mergeCell ref="B5:B14"/>
    <mergeCell ref="A15:A24"/>
    <mergeCell ref="B15:B24"/>
    <mergeCell ref="J1:L1"/>
    <mergeCell ref="D1:F1"/>
    <mergeCell ref="G1:I1"/>
    <mergeCell ref="G3:I3"/>
    <mergeCell ref="J3:L3"/>
    <mergeCell ref="G2:I2"/>
    <mergeCell ref="J2:L2"/>
    <mergeCell ref="A66:A75"/>
    <mergeCell ref="B66:B75"/>
    <mergeCell ref="A126:A135"/>
    <mergeCell ref="B126:B135"/>
    <mergeCell ref="A106:A115"/>
    <mergeCell ref="B106:B115"/>
    <mergeCell ref="A86:A95"/>
    <mergeCell ref="B86:B95"/>
    <mergeCell ref="A116:A125"/>
    <mergeCell ref="B116:B125"/>
    <mergeCell ref="A96:A105"/>
    <mergeCell ref="B96:B105"/>
    <mergeCell ref="A76:A85"/>
    <mergeCell ref="B76:B85"/>
    <mergeCell ref="P3:R3"/>
    <mergeCell ref="P2:R2"/>
    <mergeCell ref="P1:R1"/>
    <mergeCell ref="M2:O2"/>
    <mergeCell ref="M3:O3"/>
    <mergeCell ref="M1:O1"/>
  </mergeCells>
  <pageMargins left="0.7" right="0.7" top="0.75" bottom="0.75" header="0.3" footer="0.3"/>
  <pageSetup paperSize="9" scale="33"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CC"/>
    <outlinePr summaryBelow="0" summaryRight="0"/>
  </sheetPr>
  <dimension ref="A1:M44"/>
  <sheetViews>
    <sheetView view="pageBreakPreview" topLeftCell="A4" zoomScale="80" zoomScaleNormal="85" zoomScaleSheetLayoutView="80" workbookViewId="0">
      <selection activeCell="G2" sqref="G2"/>
    </sheetView>
  </sheetViews>
  <sheetFormatPr defaultColWidth="8.81640625" defaultRowHeight="14.5" outlineLevelCol="1" x14ac:dyDescent="0.35"/>
  <cols>
    <col min="2" max="2" width="54.1796875" customWidth="1"/>
    <col min="3" max="3" width="18.81640625" customWidth="1"/>
    <col min="4" max="13" width="16" customWidth="1" outlineLevel="1"/>
  </cols>
  <sheetData>
    <row r="1" spans="1:13" ht="21" x14ac:dyDescent="0.5">
      <c r="A1" s="104" t="s">
        <v>102</v>
      </c>
      <c r="B1" s="105"/>
      <c r="D1" s="93"/>
      <c r="E1" s="91"/>
      <c r="F1" s="91"/>
      <c r="G1" s="91"/>
      <c r="H1" s="91"/>
      <c r="I1" s="91"/>
      <c r="J1" s="91"/>
      <c r="K1" s="91"/>
      <c r="L1" s="91"/>
      <c r="M1" s="87"/>
    </row>
    <row r="2" spans="1:13" ht="15.5" x14ac:dyDescent="0.35">
      <c r="A2" s="106"/>
      <c r="B2" s="92"/>
      <c r="D2" s="688"/>
      <c r="E2" s="688"/>
      <c r="F2" s="688"/>
      <c r="G2" s="688"/>
      <c r="H2" s="89"/>
      <c r="I2" s="688"/>
      <c r="J2" s="89"/>
      <c r="K2" s="89"/>
      <c r="L2" s="89"/>
      <c r="M2" s="83"/>
    </row>
    <row r="3" spans="1:13" ht="15.5" x14ac:dyDescent="0.35">
      <c r="A3" s="222" t="s">
        <v>195</v>
      </c>
      <c r="B3" s="92"/>
      <c r="D3" s="83"/>
      <c r="E3" s="83"/>
      <c r="F3" s="83"/>
      <c r="G3" s="83"/>
      <c r="H3" s="83"/>
      <c r="I3" s="83"/>
      <c r="J3" s="83"/>
      <c r="K3" s="83"/>
      <c r="L3" s="83"/>
      <c r="M3" s="83"/>
    </row>
    <row r="4" spans="1:13" x14ac:dyDescent="0.35">
      <c r="D4" s="84"/>
      <c r="E4" s="84"/>
      <c r="F4" s="84"/>
      <c r="G4" s="84"/>
      <c r="H4" s="84"/>
      <c r="I4" s="84"/>
      <c r="J4" s="84"/>
      <c r="K4" s="84"/>
      <c r="L4" s="84"/>
      <c r="M4" s="84"/>
    </row>
    <row r="5" spans="1:13" ht="15" thickBot="1" x14ac:dyDescent="0.4">
      <c r="A5" s="93"/>
      <c r="B5" s="94"/>
      <c r="C5" s="88"/>
      <c r="D5" s="781" t="s">
        <v>103</v>
      </c>
      <c r="E5" s="781"/>
      <c r="F5" s="781"/>
      <c r="G5" s="781"/>
      <c r="H5" s="781"/>
      <c r="I5" s="781"/>
      <c r="J5" s="781"/>
      <c r="K5" s="781"/>
      <c r="L5" s="781"/>
      <c r="M5" s="781"/>
    </row>
    <row r="6" spans="1:13" x14ac:dyDescent="0.35">
      <c r="A6" s="219"/>
      <c r="B6" s="216" t="s">
        <v>170</v>
      </c>
      <c r="C6" s="98" t="s">
        <v>107</v>
      </c>
      <c r="D6" s="112" t="s">
        <v>25</v>
      </c>
      <c r="E6" s="113" t="s">
        <v>26</v>
      </c>
      <c r="F6" s="113" t="s">
        <v>27</v>
      </c>
      <c r="G6" s="113" t="s">
        <v>28</v>
      </c>
      <c r="H6" s="113" t="s">
        <v>29</v>
      </c>
      <c r="I6" s="113" t="s">
        <v>30</v>
      </c>
      <c r="J6" s="113" t="s">
        <v>31</v>
      </c>
      <c r="K6" s="113" t="s">
        <v>32</v>
      </c>
      <c r="L6" s="113" t="s">
        <v>33</v>
      </c>
      <c r="M6" s="114" t="s">
        <v>34</v>
      </c>
    </row>
    <row r="7" spans="1:13" x14ac:dyDescent="0.35">
      <c r="A7" s="220"/>
      <c r="B7" s="217" t="s">
        <v>110</v>
      </c>
      <c r="C7" s="99">
        <f t="shared" ref="C7:C14" si="0">SUM(D7:M7)</f>
        <v>566301.39999999979</v>
      </c>
      <c r="D7" s="115">
        <f>'TCO TO BE- SW'!$E5+'TCO TO BE- SW'!$E15</f>
        <v>566301.39999999979</v>
      </c>
      <c r="E7" s="96">
        <f>'TCO TO BE- SW'!$E6+'TCO TO BE- SW'!$E16</f>
        <v>0</v>
      </c>
      <c r="F7" s="96">
        <f>'TCO TO BE- SW'!$E7+'TCO TO BE- SW'!$E17</f>
        <v>0</v>
      </c>
      <c r="G7" s="96">
        <f>'TCO TO BE- SW'!$E8+'TCO TO BE- SW'!$E18</f>
        <v>0</v>
      </c>
      <c r="H7" s="96">
        <f>'TCO TO BE- SW'!$E9+'TCO TO BE- SW'!$E19</f>
        <v>0</v>
      </c>
      <c r="I7" s="96">
        <f>'TCO TO BE- SW'!$E10+'TCO TO BE- SW'!$E20</f>
        <v>0</v>
      </c>
      <c r="J7" s="96">
        <f>'TCO TO BE- SW'!$E11+'TCO TO BE- SW'!$E21</f>
        <v>0</v>
      </c>
      <c r="K7" s="96">
        <f>'TCO TO BE- SW'!$E12+'TCO TO BE- SW'!$E22</f>
        <v>0</v>
      </c>
      <c r="L7" s="96">
        <f>'TCO TO BE- SW'!$E13+'TCO TO BE- SW'!$E23</f>
        <v>0</v>
      </c>
      <c r="M7" s="116">
        <f>'TCO TO BE- SW'!$E14+'TCO TO BE- SW'!$E24</f>
        <v>0</v>
      </c>
    </row>
    <row r="8" spans="1:13" x14ac:dyDescent="0.35">
      <c r="A8" s="220"/>
      <c r="B8" s="217" t="s">
        <v>111</v>
      </c>
      <c r="C8" s="99">
        <f t="shared" si="0"/>
        <v>1012614.372</v>
      </c>
      <c r="D8" s="115">
        <f>'TCO TO BE- SW'!$E58+'TCO TO BE- SW'!$E68</f>
        <v>0</v>
      </c>
      <c r="E8" s="96">
        <f>'TCO TO BE- SW'!$E59+'TCO TO BE- SW'!$E69</f>
        <v>112512.70800000001</v>
      </c>
      <c r="F8" s="96">
        <f>'TCO TO BE- SW'!$E60+'TCO TO BE- SW'!$E70</f>
        <v>112512.70800000001</v>
      </c>
      <c r="G8" s="96">
        <f>'TCO TO BE- SW'!$E61+'TCO TO BE- SW'!$E71</f>
        <v>112512.70800000001</v>
      </c>
      <c r="H8" s="96">
        <f>'TCO TO BE- SW'!$E62+'TCO TO BE- SW'!$E72</f>
        <v>112512.70800000001</v>
      </c>
      <c r="I8" s="96">
        <f>'TCO TO BE- SW'!$E63+'TCO TO BE- SW'!$E73</f>
        <v>112512.70800000001</v>
      </c>
      <c r="J8" s="96">
        <f>'TCO TO BE- SW'!$E64+'TCO TO BE- SW'!$E74</f>
        <v>112512.70800000001</v>
      </c>
      <c r="K8" s="96">
        <f>'TCO TO BE- SW'!$E65+'TCO TO BE- SW'!$E75</f>
        <v>112512.70800000001</v>
      </c>
      <c r="L8" s="96">
        <f>'TCO TO BE- SW'!$E66+'TCO TO BE- SW'!$E76</f>
        <v>112512.70800000001</v>
      </c>
      <c r="M8" s="116">
        <f>'TCO TO BE- SW'!$E67+'TCO TO BE- SW'!$E77</f>
        <v>112512.70800000001</v>
      </c>
    </row>
    <row r="9" spans="1:13" x14ac:dyDescent="0.35">
      <c r="A9" s="220"/>
      <c r="B9" s="217" t="s">
        <v>112</v>
      </c>
      <c r="C9" s="99">
        <f t="shared" si="0"/>
        <v>1109547.5999999999</v>
      </c>
      <c r="D9" s="115">
        <f>'TCO TO BE- SW'!$E26+'TCO TO BE- SW'!$E36+'TCO TO BE- SW'!$E46</f>
        <v>1109547.5999999999</v>
      </c>
      <c r="E9" s="96">
        <f>'TCO TO BE- SW'!$E27+'TCO TO BE- SW'!$E37+'TCO TO BE- SW'!$E47</f>
        <v>0</v>
      </c>
      <c r="F9" s="96">
        <f>'TCO TO BE- SW'!$E28+'TCO TO BE- SW'!$E38+'TCO TO BE- SW'!$E48</f>
        <v>0</v>
      </c>
      <c r="G9" s="96">
        <f>'TCO TO BE- SW'!$E29+'TCO TO BE- SW'!$E39+'TCO TO BE- SW'!$E49</f>
        <v>0</v>
      </c>
      <c r="H9" s="96">
        <f>'TCO TO BE- SW'!$E30+'TCO TO BE- SW'!$E40+'TCO TO BE- SW'!$E50</f>
        <v>0</v>
      </c>
      <c r="I9" s="96">
        <f>'TCO TO BE- SW'!$E31+'TCO TO BE- SW'!$E41+'TCO TO BE- SW'!$E51</f>
        <v>0</v>
      </c>
      <c r="J9" s="96">
        <f>'TCO TO BE- SW'!$E32+'TCO TO BE- SW'!$E42+'TCO TO BE- SW'!$E52</f>
        <v>0</v>
      </c>
      <c r="K9" s="96">
        <f>'TCO TO BE- SW'!$E33+'TCO TO BE- SW'!$E43+'TCO TO BE- SW'!$E53</f>
        <v>0</v>
      </c>
      <c r="L9" s="96">
        <f>'TCO TO BE- SW'!$E34+'TCO TO BE- SW'!$E44+'TCO TO BE- SW'!$E54</f>
        <v>0</v>
      </c>
      <c r="M9" s="116">
        <f>'TCO TO BE- SW'!$E35+'TCO TO BE- SW'!$E45+'TCO TO BE- SW'!$E55</f>
        <v>0</v>
      </c>
    </row>
    <row r="10" spans="1:13" x14ac:dyDescent="0.35">
      <c r="A10" s="220"/>
      <c r="B10" s="217" t="s">
        <v>113</v>
      </c>
      <c r="C10" s="99">
        <f t="shared" si="0"/>
        <v>2803240.0968749998</v>
      </c>
      <c r="D10" s="115">
        <f>'TCO TO BE- SW'!$E79+'TCO TO BE- SW'!$E89+'TCO TO BE- SW'!$E99+'TCO TO BE- SW'!$E109+'TCO TO BE- SW'!$E119</f>
        <v>0</v>
      </c>
      <c r="E10" s="96">
        <f>'TCO TO BE- SW'!$E80+'TCO TO BE- SW'!$E90+'TCO TO BE- SW'!$E100+'TCO TO BE- SW'!$E110+'TCO TO BE- SW'!$E120</f>
        <v>311471.12187499995</v>
      </c>
      <c r="F10" s="96">
        <f>'TCO TO BE- SW'!$E81+'TCO TO BE- SW'!$E91+'TCO TO BE- SW'!$E101+'TCO TO BE- SW'!$E111+'TCO TO BE- SW'!$E121</f>
        <v>311471.12187499995</v>
      </c>
      <c r="G10" s="96">
        <f>'TCO TO BE- SW'!$E82+'TCO TO BE- SW'!$E92+'TCO TO BE- SW'!$E102+'TCO TO BE- SW'!$E112+'TCO TO BE- SW'!$E122</f>
        <v>311471.12187499995</v>
      </c>
      <c r="H10" s="96">
        <f>'TCO TO BE- SW'!$E83+'TCO TO BE- SW'!$E93+'TCO TO BE- SW'!$E103+'TCO TO BE- SW'!$E113+'TCO TO BE- SW'!$E123</f>
        <v>311471.12187499995</v>
      </c>
      <c r="I10" s="96">
        <f>'TCO TO BE- SW'!$E84+'TCO TO BE- SW'!$E94+'TCO TO BE- SW'!$E104+'TCO TO BE- SW'!$E114+'TCO TO BE- SW'!$E124</f>
        <v>311471.12187499995</v>
      </c>
      <c r="J10" s="96">
        <f>'TCO TO BE- SW'!$E85+'TCO TO BE- SW'!$E95+'TCO TO BE- SW'!$E105+'TCO TO BE- SW'!$E115+'TCO TO BE- SW'!$E125</f>
        <v>311471.12187499995</v>
      </c>
      <c r="K10" s="96">
        <f>'TCO TO BE- SW'!$E86+'TCO TO BE- SW'!$E96+'TCO TO BE- SW'!$E106+'TCO TO BE- SW'!$E116+'TCO TO BE- SW'!$E126</f>
        <v>311471.12187499995</v>
      </c>
      <c r="L10" s="96">
        <f>'TCO TO BE- SW'!$E87+'TCO TO BE- SW'!$E97+'TCO TO BE- SW'!$E107+'TCO TO BE- SW'!$E117+'TCO TO BE- SW'!$E127</f>
        <v>311471.12187499995</v>
      </c>
      <c r="M10" s="116">
        <f>'TCO TO BE- SW'!$E88+'TCO TO BE- SW'!$E98+'TCO TO BE- SW'!$E108+'TCO TO BE- SW'!$E118+'TCO TO BE- SW'!$E128</f>
        <v>311471.12187499995</v>
      </c>
    </row>
    <row r="11" spans="1:13" x14ac:dyDescent="0.35">
      <c r="A11" s="220"/>
      <c r="B11" s="217" t="s">
        <v>351</v>
      </c>
      <c r="C11" s="99">
        <f t="shared" si="0"/>
        <v>0</v>
      </c>
      <c r="D11" s="115">
        <f>'TCO TO BE- SW'!E151+'TCO TO BE- SW'!E161</f>
        <v>0</v>
      </c>
      <c r="E11" s="96">
        <f>'TCO TO BE- SW'!E152+'TCO TO BE- SW'!E162</f>
        <v>0</v>
      </c>
      <c r="F11" s="96">
        <f>'TCO TO BE- SW'!E153+'TCO TO BE- SW'!E163</f>
        <v>0</v>
      </c>
      <c r="G11" s="96">
        <f>'TCO TO BE- SW'!E154+'TCO TO BE- SW'!E164</f>
        <v>0</v>
      </c>
      <c r="H11" s="96">
        <f>'TCO TO BE- SW'!E155+'TCO TO BE- SW'!E165</f>
        <v>0</v>
      </c>
      <c r="I11" s="96">
        <f>'TCO TO BE- SW'!E156+'TCO TO BE- SW'!E166</f>
        <v>0</v>
      </c>
      <c r="J11" s="96">
        <f>'TCO TO BE- SW'!E157+'TCO TO BE- SW'!E167</f>
        <v>0</v>
      </c>
      <c r="K11" s="96">
        <f>'TCO TO BE- SW'!E158+'TCO TO BE- SW'!E168</f>
        <v>0</v>
      </c>
      <c r="L11" s="96">
        <f>'TCO TO BE- SW'!E159+'TCO TO BE- SW'!E169</f>
        <v>0</v>
      </c>
      <c r="M11" s="116">
        <f>'TCO TO BE- SW'!E160+'TCO TO BE- SW'!E170</f>
        <v>0</v>
      </c>
    </row>
    <row r="12" spans="1:13" x14ac:dyDescent="0.35">
      <c r="A12" s="220"/>
      <c r="B12" s="217" t="s">
        <v>104</v>
      </c>
      <c r="C12" s="99">
        <f t="shared" si="0"/>
        <v>700000</v>
      </c>
      <c r="D12" s="115">
        <f>'TCO TO BE - HW'!$E4+'TCO TO BE - HW'!$E14+'TCO TO BE - HW'!$E24</f>
        <v>700000</v>
      </c>
      <c r="E12" s="96">
        <f>'TCO TO BE - HW'!$E5+'TCO TO BE - HW'!$E15+'TCO TO BE - HW'!$E25</f>
        <v>0</v>
      </c>
      <c r="F12" s="96">
        <f>'TCO TO BE - HW'!$E6+'TCO TO BE - HW'!$E16+'TCO TO BE - HW'!$E26</f>
        <v>0</v>
      </c>
      <c r="G12" s="96">
        <f>'TCO TO BE - HW'!$E7+'TCO TO BE - HW'!$E17+'TCO TO BE - HW'!$E27</f>
        <v>0</v>
      </c>
      <c r="H12" s="96">
        <f>'TCO TO BE - HW'!$E8+'TCO TO BE - HW'!$E18+'TCO TO BE - HW'!$E28</f>
        <v>0</v>
      </c>
      <c r="I12" s="96">
        <f>'TCO TO BE - HW'!$E9+'TCO TO BE - HW'!$E19+'TCO TO BE - HW'!$E29</f>
        <v>0</v>
      </c>
      <c r="J12" s="96">
        <f>'TCO TO BE - HW'!$E10+'TCO TO BE - HW'!$E20+'TCO TO BE - HW'!$E30</f>
        <v>0</v>
      </c>
      <c r="K12" s="96">
        <f>'TCO TO BE - HW'!$E11+'TCO TO BE - HW'!$E21+'TCO TO BE - HW'!$E31</f>
        <v>0</v>
      </c>
      <c r="L12" s="96">
        <f>'TCO TO BE - HW'!$E12+'TCO TO BE - HW'!$E22+'TCO TO BE - HW'!$E32</f>
        <v>0</v>
      </c>
      <c r="M12" s="116">
        <f>'TCO TO BE - HW'!$E13+'TCO TO BE - HW'!$E23+'TCO TO BE - HW'!$E33</f>
        <v>0</v>
      </c>
    </row>
    <row r="13" spans="1:13" x14ac:dyDescent="0.35">
      <c r="A13" s="220"/>
      <c r="B13" s="217" t="s">
        <v>105</v>
      </c>
      <c r="C13" s="99">
        <f t="shared" si="0"/>
        <v>693872.578125</v>
      </c>
      <c r="D13" s="115">
        <f>'TCO TO BE - HW'!$E35+'TCO TO BE - HW'!$E45+'TCO TO BE - HW'!$E55+'TCO TO BE - HW'!$E65+'TCO TO BE - HW'!$E75</f>
        <v>0</v>
      </c>
      <c r="E13" s="96">
        <f>'TCO TO BE - HW'!$E36+'TCO TO BE - HW'!$E46+'TCO TO BE - HW'!$E56+'TCO TO BE - HW'!$E66+'TCO TO BE - HW'!$E76</f>
        <v>77096.953125</v>
      </c>
      <c r="F13" s="96">
        <f>'TCO TO BE - HW'!$E37+'TCO TO BE - HW'!$E47+'TCO TO BE - HW'!$E57+'TCO TO BE - HW'!$E67+'TCO TO BE - HW'!$E77</f>
        <v>77096.953125</v>
      </c>
      <c r="G13" s="96">
        <f>'TCO TO BE - HW'!$E38+'TCO TO BE - HW'!$E48+'TCO TO BE - HW'!$E58+'TCO TO BE - HW'!$E68+'TCO TO BE - HW'!$E78</f>
        <v>77096.953125</v>
      </c>
      <c r="H13" s="96">
        <f>'TCO TO BE - HW'!$E39+'TCO TO BE - HW'!$E49+'TCO TO BE - HW'!$E59+'TCO TO BE - HW'!$E69+'TCO TO BE - HW'!$E79</f>
        <v>77096.953125</v>
      </c>
      <c r="I13" s="96">
        <f>'TCO TO BE - HW'!$E40+'TCO TO BE - HW'!$E50+'TCO TO BE - HW'!$E60+'TCO TO BE - HW'!$E70+'TCO TO BE - HW'!$E80</f>
        <v>77096.953125</v>
      </c>
      <c r="J13" s="96">
        <f>'TCO TO BE - HW'!$E41+'TCO TO BE - HW'!$E51+'TCO TO BE - HW'!$E61+'TCO TO BE - HW'!$E71+'TCO TO BE - HW'!$E81</f>
        <v>77096.953125</v>
      </c>
      <c r="K13" s="96">
        <f>'TCO TO BE - HW'!$E42+'TCO TO BE - HW'!$E52+'TCO TO BE - HW'!$E62+'TCO TO BE - HW'!$E72+'TCO TO BE - HW'!$E82</f>
        <v>77096.953125</v>
      </c>
      <c r="L13" s="96">
        <f>'TCO TO BE - HW'!$E43+'TCO TO BE - HW'!$E53+'TCO TO BE - HW'!$E63+'TCO TO BE - HW'!$E73+'TCO TO BE - HW'!$E83</f>
        <v>77096.953125</v>
      </c>
      <c r="M13" s="116">
        <f>'TCO TO BE - HW'!$E44+'TCO TO BE - HW'!$E54+'TCO TO BE - HW'!$E64+'TCO TO BE - HW'!$E74+'TCO TO BE - HW'!$E84</f>
        <v>77096.953125</v>
      </c>
    </row>
    <row r="14" spans="1:13" ht="15" thickBot="1" x14ac:dyDescent="0.4">
      <c r="A14" s="220"/>
      <c r="B14" s="523" t="s">
        <v>319</v>
      </c>
      <c r="C14" s="524">
        <f t="shared" si="0"/>
        <v>164492.04999999999</v>
      </c>
      <c r="D14" s="529">
        <f>'TCO TO BE- SW'!E130+'TCO TO BE- SW'!E140</f>
        <v>164492.04999999999</v>
      </c>
      <c r="E14" s="530">
        <f>'TCO TO BE- SW'!E131+'TCO TO BE- SW'!E141</f>
        <v>0</v>
      </c>
      <c r="F14" s="530">
        <f>'TCO TO BE- SW'!E132+'TCO TO BE- SW'!E142</f>
        <v>0</v>
      </c>
      <c r="G14" s="530">
        <f>'TCO TO BE- SW'!E133+'TCO TO BE- SW'!E143</f>
        <v>0</v>
      </c>
      <c r="H14" s="530">
        <f>'TCO TO BE- SW'!E134+'TCO TO BE- SW'!E144</f>
        <v>0</v>
      </c>
      <c r="I14" s="530">
        <f>'TCO TO BE- SW'!E135+'TCO TO BE- SW'!E145</f>
        <v>0</v>
      </c>
      <c r="J14" s="530">
        <f>'TCO TO BE- SW'!E136+'TCO TO BE- SW'!E146</f>
        <v>0</v>
      </c>
      <c r="K14" s="530">
        <f>'TCO TO BE- SW'!E137+'TCO TO BE- SW'!E147</f>
        <v>0</v>
      </c>
      <c r="L14" s="530">
        <f>'TCO TO BE- SW'!E138+'TCO TO BE- SW'!E148</f>
        <v>0</v>
      </c>
      <c r="M14" s="531">
        <f>'TCO TO BE- SW'!E139+'TCO TO BE- SW'!E149</f>
        <v>0</v>
      </c>
    </row>
    <row r="15" spans="1:13" ht="15" thickBot="1" x14ac:dyDescent="0.4">
      <c r="A15" s="221"/>
      <c r="B15" s="218" t="s">
        <v>106</v>
      </c>
      <c r="C15" s="101">
        <f>SUM(C7:C14)</f>
        <v>7050068.0969999991</v>
      </c>
      <c r="D15" s="97">
        <f>SUM(D7:D13)</f>
        <v>2375848.9999999995</v>
      </c>
      <c r="E15" s="86">
        <f t="shared" ref="E15:M15" si="1">SUM(E7:E13)</f>
        <v>501080.78299999994</v>
      </c>
      <c r="F15" s="86">
        <f t="shared" si="1"/>
        <v>501080.78299999994</v>
      </c>
      <c r="G15" s="86">
        <f t="shared" si="1"/>
        <v>501080.78299999994</v>
      </c>
      <c r="H15" s="86">
        <f t="shared" si="1"/>
        <v>501080.78299999994</v>
      </c>
      <c r="I15" s="86">
        <f t="shared" si="1"/>
        <v>501080.78299999994</v>
      </c>
      <c r="J15" s="86">
        <f t="shared" si="1"/>
        <v>501080.78299999994</v>
      </c>
      <c r="K15" s="86">
        <f t="shared" si="1"/>
        <v>501080.78299999994</v>
      </c>
      <c r="L15" s="103">
        <f t="shared" si="1"/>
        <v>501080.78299999994</v>
      </c>
      <c r="M15" s="102">
        <f t="shared" si="1"/>
        <v>501080.78299999994</v>
      </c>
    </row>
    <row r="16" spans="1:13" x14ac:dyDescent="0.35">
      <c r="A16" s="84"/>
      <c r="B16" s="84"/>
      <c r="C16" s="84"/>
      <c r="D16" s="84"/>
      <c r="E16" s="84"/>
      <c r="F16" s="84"/>
      <c r="G16" s="84"/>
      <c r="H16" s="84"/>
      <c r="I16" s="84"/>
      <c r="J16" s="84"/>
      <c r="K16" s="84"/>
      <c r="L16" s="84"/>
      <c r="M16" s="84"/>
    </row>
    <row r="17" spans="1:13" x14ac:dyDescent="0.35">
      <c r="A17" s="84"/>
      <c r="B17" s="84"/>
      <c r="C17" s="84"/>
      <c r="D17" s="84"/>
      <c r="E17" s="84"/>
      <c r="F17" s="84"/>
      <c r="G17" s="84"/>
      <c r="H17" s="84"/>
      <c r="I17" s="84"/>
      <c r="J17" s="84"/>
      <c r="K17" s="84"/>
      <c r="L17" s="84"/>
      <c r="M17" s="84"/>
    </row>
    <row r="18" spans="1:13" ht="32.25" customHeight="1" x14ac:dyDescent="0.35">
      <c r="A18" s="782" t="s">
        <v>118</v>
      </c>
      <c r="B18" s="782"/>
      <c r="C18" s="782"/>
      <c r="D18" s="90"/>
      <c r="E18" s="89"/>
      <c r="F18" s="89"/>
      <c r="G18" s="89"/>
      <c r="H18" s="89"/>
      <c r="I18" s="89"/>
      <c r="J18" s="89"/>
      <c r="K18" s="89"/>
      <c r="L18" s="89"/>
      <c r="M18" s="83"/>
    </row>
    <row r="19" spans="1:13" x14ac:dyDescent="0.35">
      <c r="A19" s="84"/>
      <c r="B19" s="84"/>
      <c r="C19" s="84"/>
      <c r="D19" s="84"/>
      <c r="E19" s="84"/>
      <c r="F19" s="84"/>
      <c r="G19" s="84"/>
      <c r="H19" s="84"/>
      <c r="I19" s="84"/>
      <c r="J19" s="84"/>
      <c r="K19" s="84"/>
      <c r="L19" s="84"/>
      <c r="M19" s="84"/>
    </row>
    <row r="20" spans="1:13" ht="15" thickBot="1" x14ac:dyDescent="0.4">
      <c r="A20" s="93"/>
      <c r="B20" s="94"/>
      <c r="C20" s="88"/>
      <c r="D20" s="781" t="s">
        <v>103</v>
      </c>
      <c r="E20" s="781"/>
      <c r="F20" s="781"/>
      <c r="G20" s="781"/>
      <c r="H20" s="781"/>
      <c r="I20" s="781"/>
      <c r="J20" s="781"/>
      <c r="K20" s="781"/>
      <c r="L20" s="781"/>
      <c r="M20" s="781"/>
    </row>
    <row r="21" spans="1:13" ht="17.149999999999999" customHeight="1" x14ac:dyDescent="0.35">
      <c r="A21" s="219"/>
      <c r="B21" s="215" t="s">
        <v>226</v>
      </c>
      <c r="C21" s="98" t="s">
        <v>107</v>
      </c>
      <c r="D21" s="112" t="s">
        <v>25</v>
      </c>
      <c r="E21" s="113" t="s">
        <v>26</v>
      </c>
      <c r="F21" s="113" t="s">
        <v>27</v>
      </c>
      <c r="G21" s="113" t="s">
        <v>28</v>
      </c>
      <c r="H21" s="113" t="s">
        <v>29</v>
      </c>
      <c r="I21" s="113" t="s">
        <v>30</v>
      </c>
      <c r="J21" s="113" t="s">
        <v>31</v>
      </c>
      <c r="K21" s="113" t="s">
        <v>32</v>
      </c>
      <c r="L21" s="113" t="s">
        <v>33</v>
      </c>
      <c r="M21" s="114" t="s">
        <v>34</v>
      </c>
    </row>
    <row r="22" spans="1:13" ht="15" customHeight="1" x14ac:dyDescent="0.35">
      <c r="A22" s="220"/>
      <c r="B22" s="110" t="s">
        <v>110</v>
      </c>
      <c r="C22" s="99">
        <v>0</v>
      </c>
      <c r="D22" s="115">
        <v>0</v>
      </c>
      <c r="E22" s="96">
        <v>0</v>
      </c>
      <c r="F22" s="96">
        <v>0</v>
      </c>
      <c r="G22" s="96">
        <v>0</v>
      </c>
      <c r="H22" s="96">
        <v>0</v>
      </c>
      <c r="I22" s="96">
        <v>0</v>
      </c>
      <c r="J22" s="96">
        <v>0</v>
      </c>
      <c r="K22" s="96">
        <v>0</v>
      </c>
      <c r="L22" s="96">
        <v>0</v>
      </c>
      <c r="M22" s="116">
        <v>0</v>
      </c>
    </row>
    <row r="23" spans="1:13" ht="17.25" customHeight="1" x14ac:dyDescent="0.35">
      <c r="A23" s="220"/>
      <c r="B23" s="110" t="s">
        <v>111</v>
      </c>
      <c r="C23" s="99">
        <f>SUM(D23:M23)</f>
        <v>0</v>
      </c>
      <c r="D23" s="115">
        <f>'TCO AS IS - SW'!E5+'TCO AS IS - SW'!E15</f>
        <v>0</v>
      </c>
      <c r="E23" s="96">
        <f>'TCO AS IS - SW'!E6+'TCO AS IS - SW'!E16</f>
        <v>0</v>
      </c>
      <c r="F23" s="96">
        <f>'TCO AS IS - SW'!E7+'TCO AS IS - SW'!E17</f>
        <v>0</v>
      </c>
      <c r="G23" s="96">
        <f>'TCO AS IS - SW'!E8+'TCO AS IS - SW'!E18</f>
        <v>0</v>
      </c>
      <c r="H23" s="96">
        <f>'TCO AS IS - SW'!E9+'TCO AS IS - SW'!E19</f>
        <v>0</v>
      </c>
      <c r="I23" s="96">
        <f>'TCO AS IS - SW'!E10+'TCO AS IS - SW'!E20</f>
        <v>0</v>
      </c>
      <c r="J23" s="96">
        <f>'TCO AS IS - SW'!E11+'TCO AS IS - SW'!E21</f>
        <v>0</v>
      </c>
      <c r="K23" s="96">
        <f>'TCO AS IS - SW'!E12+'TCO AS IS - SW'!E22</f>
        <v>0</v>
      </c>
      <c r="L23" s="96">
        <f>'TCO AS IS - SW'!E13+'TCO AS IS - SW'!E23</f>
        <v>0</v>
      </c>
      <c r="M23" s="116">
        <f>'TCO AS IS - SW'!E14+'TCO AS IS - SW'!E24</f>
        <v>0</v>
      </c>
    </row>
    <row r="24" spans="1:13" x14ac:dyDescent="0.35">
      <c r="A24" s="220"/>
      <c r="B24" s="110" t="s">
        <v>112</v>
      </c>
      <c r="C24" s="99">
        <v>0</v>
      </c>
      <c r="D24" s="115">
        <v>0</v>
      </c>
      <c r="E24" s="96">
        <v>0</v>
      </c>
      <c r="F24" s="96">
        <v>0</v>
      </c>
      <c r="G24" s="96">
        <v>0</v>
      </c>
      <c r="H24" s="96">
        <v>0</v>
      </c>
      <c r="I24" s="96">
        <v>0</v>
      </c>
      <c r="J24" s="96">
        <v>0</v>
      </c>
      <c r="K24" s="96">
        <v>0</v>
      </c>
      <c r="L24" s="96">
        <v>0</v>
      </c>
      <c r="M24" s="116">
        <v>0</v>
      </c>
    </row>
    <row r="25" spans="1:13" x14ac:dyDescent="0.35">
      <c r="A25" s="220"/>
      <c r="B25" s="110" t="s">
        <v>113</v>
      </c>
      <c r="C25" s="99">
        <f>SUM(D25:M25)</f>
        <v>0</v>
      </c>
      <c r="D25" s="115">
        <f>'TCO AS IS - SW'!E26+'TCO AS IS - SW'!E36+'TCO AS IS - SW'!E46+'TCO AS IS - SW'!E56+'TCO AS IS - SW'!E66</f>
        <v>0</v>
      </c>
      <c r="E25" s="96">
        <f>'TCO AS IS - SW'!E27+'TCO AS IS - SW'!E37+'TCO AS IS - SW'!E47+'TCO AS IS - SW'!E57+'TCO AS IS - SW'!E67</f>
        <v>0</v>
      </c>
      <c r="F25" s="96">
        <f>'TCO AS IS - SW'!E28+'TCO AS IS - SW'!E38+'TCO AS IS - SW'!E48+'TCO AS IS - SW'!E58+'TCO AS IS - SW'!E68</f>
        <v>0</v>
      </c>
      <c r="G25" s="96">
        <f>'TCO AS IS - SW'!E29+'TCO AS IS - SW'!E39+'TCO AS IS - SW'!E49+'TCO AS IS - SW'!E59+'TCO AS IS - SW'!E69</f>
        <v>0</v>
      </c>
      <c r="H25" s="96">
        <f>'TCO AS IS - SW'!E30+'TCO AS IS - SW'!E40+'TCO AS IS - SW'!E50+'TCO AS IS - SW'!E60+'TCO AS IS - SW'!E70</f>
        <v>0</v>
      </c>
      <c r="I25" s="96">
        <f>'TCO AS IS - SW'!E31+'TCO AS IS - SW'!E41+'TCO AS IS - SW'!E51+'TCO AS IS - SW'!E61+'TCO AS IS - SW'!E71</f>
        <v>0</v>
      </c>
      <c r="J25" s="96">
        <f>'TCO AS IS - SW'!E32+'TCO AS IS - SW'!E42+'TCO AS IS - SW'!E52+'TCO AS IS - SW'!E62+'TCO AS IS - SW'!E72</f>
        <v>0</v>
      </c>
      <c r="K25" s="96">
        <f>'TCO AS IS - SW'!E33+'TCO AS IS - SW'!E43+'TCO AS IS - SW'!E53+'TCO AS IS - SW'!E63+'TCO AS IS - SW'!E73</f>
        <v>0</v>
      </c>
      <c r="L25" s="96">
        <f>'TCO AS IS - SW'!E34+'TCO AS IS - SW'!E44+'TCO AS IS - SW'!E54+'TCO AS IS - SW'!E64+'TCO AS IS - SW'!E74</f>
        <v>0</v>
      </c>
      <c r="M25" s="116">
        <f>'TCO AS IS - SW'!E35+'TCO AS IS - SW'!E45+'TCO AS IS - SW'!E55+'TCO AS IS - SW'!E65+'TCO AS IS - SW'!E75</f>
        <v>0</v>
      </c>
    </row>
    <row r="26" spans="1:13" x14ac:dyDescent="0.35">
      <c r="A26" s="220"/>
      <c r="B26" s="110" t="s">
        <v>104</v>
      </c>
      <c r="C26" s="99">
        <v>0</v>
      </c>
      <c r="D26" s="115">
        <v>0</v>
      </c>
      <c r="E26" s="96">
        <v>0</v>
      </c>
      <c r="F26" s="96">
        <v>0</v>
      </c>
      <c r="G26" s="96">
        <v>0</v>
      </c>
      <c r="H26" s="96">
        <v>0</v>
      </c>
      <c r="I26" s="96">
        <v>0</v>
      </c>
      <c r="J26" s="96">
        <v>0</v>
      </c>
      <c r="K26" s="96">
        <v>0</v>
      </c>
      <c r="L26" s="96">
        <v>0</v>
      </c>
      <c r="M26" s="116">
        <v>0</v>
      </c>
    </row>
    <row r="27" spans="1:13" ht="15" thickBot="1" x14ac:dyDescent="0.4">
      <c r="A27" s="220"/>
      <c r="B27" s="111" t="s">
        <v>105</v>
      </c>
      <c r="C27" s="100">
        <f>SUM(D27:M27)</f>
        <v>0</v>
      </c>
      <c r="D27" s="117">
        <f>'TCO AS IS - HW'!E4+'TCO AS IS - HW'!E14+'TCO AS IS - HW'!E24+'TCO AS IS - HW'!E34+'TCO AS IS - HW'!E44</f>
        <v>0</v>
      </c>
      <c r="E27" s="118">
        <f>'TCO AS IS - HW'!E5+'TCO AS IS - HW'!E15+'TCO AS IS - HW'!E25+'TCO AS IS - HW'!E35+'TCO AS IS - HW'!E45</f>
        <v>0</v>
      </c>
      <c r="F27" s="118">
        <f>'TCO AS IS - HW'!E6+'TCO AS IS - HW'!E16+'TCO AS IS - HW'!E26+'TCO AS IS - HW'!E36+'TCO AS IS - HW'!E46</f>
        <v>0</v>
      </c>
      <c r="G27" s="118">
        <f>'TCO AS IS - HW'!E7+'TCO AS IS - HW'!E17+'TCO AS IS - HW'!E27+'TCO AS IS - HW'!E37+'TCO AS IS - HW'!E47</f>
        <v>0</v>
      </c>
      <c r="H27" s="118">
        <f>'TCO AS IS - HW'!E8+'TCO AS IS - HW'!E18+'TCO AS IS - HW'!E28+'TCO AS IS - HW'!E38+'TCO AS IS - HW'!E48</f>
        <v>0</v>
      </c>
      <c r="I27" s="118">
        <f>'TCO AS IS - HW'!E9+'TCO AS IS - HW'!E19+'TCO AS IS - HW'!E29+'TCO AS IS - HW'!E39+'TCO AS IS - HW'!E49</f>
        <v>0</v>
      </c>
      <c r="J27" s="118">
        <f>'TCO AS IS - HW'!E10+'TCO AS IS - HW'!E20+'TCO AS IS - HW'!E30+'TCO AS IS - HW'!E40+'TCO AS IS - HW'!E50</f>
        <v>0</v>
      </c>
      <c r="K27" s="118">
        <f>'TCO AS IS - HW'!E11+'TCO AS IS - HW'!E21+'TCO AS IS - HW'!E31+'TCO AS IS - HW'!E41+'TCO AS IS - HW'!E51</f>
        <v>0</v>
      </c>
      <c r="L27" s="118">
        <f>'TCO AS IS - HW'!E12+'TCO AS IS - HW'!E22+'TCO AS IS - HW'!E32+'TCO AS IS - HW'!E42+'TCO AS IS - HW'!E52</f>
        <v>0</v>
      </c>
      <c r="M27" s="119">
        <f>'TCO AS IS - HW'!E13+'TCO AS IS - HW'!E23+'TCO AS IS - HW'!E33+'TCO AS IS - HW'!E43+'TCO AS IS - HW'!E53</f>
        <v>0</v>
      </c>
    </row>
    <row r="28" spans="1:13" ht="15" thickBot="1" x14ac:dyDescent="0.4">
      <c r="A28" s="221"/>
      <c r="B28" s="95" t="s">
        <v>106</v>
      </c>
      <c r="C28" s="101">
        <f t="shared" ref="C28:M28" si="2">SUM(C22:C27)</f>
        <v>0</v>
      </c>
      <c r="D28" s="97">
        <f t="shared" si="2"/>
        <v>0</v>
      </c>
      <c r="E28" s="86">
        <f t="shared" si="2"/>
        <v>0</v>
      </c>
      <c r="F28" s="86">
        <f t="shared" si="2"/>
        <v>0</v>
      </c>
      <c r="G28" s="86">
        <f t="shared" si="2"/>
        <v>0</v>
      </c>
      <c r="H28" s="86">
        <f t="shared" si="2"/>
        <v>0</v>
      </c>
      <c r="I28" s="86">
        <f t="shared" si="2"/>
        <v>0</v>
      </c>
      <c r="J28" s="86">
        <f t="shared" si="2"/>
        <v>0</v>
      </c>
      <c r="K28" s="86">
        <f t="shared" si="2"/>
        <v>0</v>
      </c>
      <c r="L28" s="103">
        <f t="shared" si="2"/>
        <v>0</v>
      </c>
      <c r="M28" s="102">
        <f t="shared" si="2"/>
        <v>0</v>
      </c>
    </row>
    <row r="29" spans="1:13" x14ac:dyDescent="0.35">
      <c r="A29" s="212"/>
      <c r="B29" s="213"/>
      <c r="C29" s="214"/>
      <c r="D29" s="214"/>
      <c r="E29" s="214"/>
      <c r="F29" s="214"/>
      <c r="G29" s="214"/>
      <c r="H29" s="214"/>
      <c r="I29" s="214"/>
      <c r="J29" s="214"/>
      <c r="K29" s="214"/>
      <c r="L29" s="214"/>
      <c r="M29" s="214"/>
    </row>
    <row r="32" spans="1:13" ht="15.75" customHeight="1" x14ac:dyDescent="0.35">
      <c r="A32" s="782" t="s">
        <v>213</v>
      </c>
      <c r="B32" s="782"/>
      <c r="C32" s="782"/>
    </row>
    <row r="34" spans="1:13" ht="15" thickBot="1" x14ac:dyDescent="0.4"/>
    <row r="35" spans="1:13" x14ac:dyDescent="0.35">
      <c r="A35" s="219"/>
      <c r="B35" s="215" t="s">
        <v>158</v>
      </c>
      <c r="C35" s="162" t="s">
        <v>107</v>
      </c>
      <c r="D35" s="163" t="s">
        <v>25</v>
      </c>
      <c r="E35" s="164" t="s">
        <v>26</v>
      </c>
      <c r="F35" s="164" t="s">
        <v>27</v>
      </c>
      <c r="G35" s="164" t="s">
        <v>28</v>
      </c>
      <c r="H35" s="164" t="s">
        <v>29</v>
      </c>
      <c r="I35" s="164" t="s">
        <v>30</v>
      </c>
      <c r="J35" s="164" t="s">
        <v>31</v>
      </c>
      <c r="K35" s="164" t="s">
        <v>32</v>
      </c>
      <c r="L35" s="164" t="s">
        <v>33</v>
      </c>
      <c r="M35" s="165" t="s">
        <v>34</v>
      </c>
    </row>
    <row r="36" spans="1:13" x14ac:dyDescent="0.35">
      <c r="A36" s="220"/>
      <c r="B36" s="166" t="s">
        <v>110</v>
      </c>
      <c r="C36" s="167">
        <f>SUM(D36:M36)</f>
        <v>566301.39999999979</v>
      </c>
      <c r="D36" s="168">
        <f t="shared" ref="D36:M36" si="3">D7-D22</f>
        <v>566301.39999999979</v>
      </c>
      <c r="E36" s="169">
        <f t="shared" si="3"/>
        <v>0</v>
      </c>
      <c r="F36" s="169">
        <f t="shared" si="3"/>
        <v>0</v>
      </c>
      <c r="G36" s="169">
        <f t="shared" si="3"/>
        <v>0</v>
      </c>
      <c r="H36" s="169">
        <f t="shared" si="3"/>
        <v>0</v>
      </c>
      <c r="I36" s="169">
        <f t="shared" si="3"/>
        <v>0</v>
      </c>
      <c r="J36" s="169">
        <f t="shared" si="3"/>
        <v>0</v>
      </c>
      <c r="K36" s="169">
        <f t="shared" si="3"/>
        <v>0</v>
      </c>
      <c r="L36" s="169">
        <f t="shared" si="3"/>
        <v>0</v>
      </c>
      <c r="M36" s="179">
        <f t="shared" si="3"/>
        <v>0</v>
      </c>
    </row>
    <row r="37" spans="1:13" x14ac:dyDescent="0.35">
      <c r="A37" s="220"/>
      <c r="B37" s="171" t="s">
        <v>111</v>
      </c>
      <c r="C37" s="167">
        <f t="shared" ref="C37:C43" si="4">SUM(D37:M37)</f>
        <v>1012614.372</v>
      </c>
      <c r="D37" s="168">
        <f t="shared" ref="D37:M37" si="5">D8-D23</f>
        <v>0</v>
      </c>
      <c r="E37" s="169">
        <f t="shared" si="5"/>
        <v>112512.70800000001</v>
      </c>
      <c r="F37" s="169">
        <f t="shared" si="5"/>
        <v>112512.70800000001</v>
      </c>
      <c r="G37" s="169">
        <f t="shared" si="5"/>
        <v>112512.70800000001</v>
      </c>
      <c r="H37" s="169">
        <f t="shared" si="5"/>
        <v>112512.70800000001</v>
      </c>
      <c r="I37" s="169">
        <f t="shared" si="5"/>
        <v>112512.70800000001</v>
      </c>
      <c r="J37" s="169">
        <f t="shared" si="5"/>
        <v>112512.70800000001</v>
      </c>
      <c r="K37" s="169">
        <f t="shared" si="5"/>
        <v>112512.70800000001</v>
      </c>
      <c r="L37" s="180">
        <f t="shared" si="5"/>
        <v>112512.70800000001</v>
      </c>
      <c r="M37" s="170">
        <f t="shared" si="5"/>
        <v>112512.70800000001</v>
      </c>
    </row>
    <row r="38" spans="1:13" x14ac:dyDescent="0.35">
      <c r="A38" s="220"/>
      <c r="B38" s="166" t="s">
        <v>112</v>
      </c>
      <c r="C38" s="167">
        <f t="shared" si="4"/>
        <v>1109547.5999999999</v>
      </c>
      <c r="D38" s="168">
        <f t="shared" ref="D38:M38" si="6">D9-D24</f>
        <v>1109547.5999999999</v>
      </c>
      <c r="E38" s="169">
        <f t="shared" si="6"/>
        <v>0</v>
      </c>
      <c r="F38" s="169">
        <f t="shared" si="6"/>
        <v>0</v>
      </c>
      <c r="G38" s="169">
        <f t="shared" si="6"/>
        <v>0</v>
      </c>
      <c r="H38" s="169">
        <f t="shared" si="6"/>
        <v>0</v>
      </c>
      <c r="I38" s="169">
        <f t="shared" si="6"/>
        <v>0</v>
      </c>
      <c r="J38" s="169">
        <f t="shared" si="6"/>
        <v>0</v>
      </c>
      <c r="K38" s="169">
        <f t="shared" si="6"/>
        <v>0</v>
      </c>
      <c r="L38" s="180">
        <f t="shared" si="6"/>
        <v>0</v>
      </c>
      <c r="M38" s="170">
        <f t="shared" si="6"/>
        <v>0</v>
      </c>
    </row>
    <row r="39" spans="1:13" x14ac:dyDescent="0.35">
      <c r="A39" s="220"/>
      <c r="B39" s="110" t="s">
        <v>113</v>
      </c>
      <c r="C39" s="167">
        <f t="shared" si="4"/>
        <v>2803240.0968749998</v>
      </c>
      <c r="D39" s="168">
        <f t="shared" ref="D39:M39" si="7">D10-D25</f>
        <v>0</v>
      </c>
      <c r="E39" s="169">
        <f t="shared" si="7"/>
        <v>311471.12187499995</v>
      </c>
      <c r="F39" s="169">
        <f t="shared" si="7"/>
        <v>311471.12187499995</v>
      </c>
      <c r="G39" s="169">
        <f t="shared" si="7"/>
        <v>311471.12187499995</v>
      </c>
      <c r="H39" s="169">
        <f t="shared" si="7"/>
        <v>311471.12187499995</v>
      </c>
      <c r="I39" s="169">
        <f t="shared" si="7"/>
        <v>311471.12187499995</v>
      </c>
      <c r="J39" s="169">
        <f t="shared" si="7"/>
        <v>311471.12187499995</v>
      </c>
      <c r="K39" s="169">
        <f t="shared" si="7"/>
        <v>311471.12187499995</v>
      </c>
      <c r="L39" s="180">
        <f t="shared" si="7"/>
        <v>311471.12187499995</v>
      </c>
      <c r="M39" s="170">
        <f t="shared" si="7"/>
        <v>311471.12187499995</v>
      </c>
    </row>
    <row r="40" spans="1:13" x14ac:dyDescent="0.35">
      <c r="A40" s="220"/>
      <c r="B40" s="110" t="s">
        <v>351</v>
      </c>
      <c r="C40" s="167">
        <f t="shared" si="4"/>
        <v>0</v>
      </c>
      <c r="D40" s="168">
        <f t="shared" ref="D40:M40" si="8">D11</f>
        <v>0</v>
      </c>
      <c r="E40" s="169">
        <f t="shared" si="8"/>
        <v>0</v>
      </c>
      <c r="F40" s="169">
        <f t="shared" si="8"/>
        <v>0</v>
      </c>
      <c r="G40" s="169">
        <f t="shared" si="8"/>
        <v>0</v>
      </c>
      <c r="H40" s="169">
        <f t="shared" si="8"/>
        <v>0</v>
      </c>
      <c r="I40" s="169">
        <f t="shared" si="8"/>
        <v>0</v>
      </c>
      <c r="J40" s="169">
        <f t="shared" si="8"/>
        <v>0</v>
      </c>
      <c r="K40" s="169">
        <f t="shared" si="8"/>
        <v>0</v>
      </c>
      <c r="L40" s="180">
        <f t="shared" si="8"/>
        <v>0</v>
      </c>
      <c r="M40" s="170">
        <f t="shared" si="8"/>
        <v>0</v>
      </c>
    </row>
    <row r="41" spans="1:13" x14ac:dyDescent="0.35">
      <c r="A41" s="220"/>
      <c r="B41" s="110" t="s">
        <v>160</v>
      </c>
      <c r="C41" s="167">
        <f t="shared" si="4"/>
        <v>700000</v>
      </c>
      <c r="D41" s="168">
        <f t="shared" ref="D41:M41" si="9">D12-D26</f>
        <v>700000</v>
      </c>
      <c r="E41" s="169">
        <f t="shared" si="9"/>
        <v>0</v>
      </c>
      <c r="F41" s="169">
        <f t="shared" si="9"/>
        <v>0</v>
      </c>
      <c r="G41" s="169">
        <f t="shared" si="9"/>
        <v>0</v>
      </c>
      <c r="H41" s="169">
        <f t="shared" si="9"/>
        <v>0</v>
      </c>
      <c r="I41" s="169">
        <f t="shared" si="9"/>
        <v>0</v>
      </c>
      <c r="J41" s="169">
        <f t="shared" si="9"/>
        <v>0</v>
      </c>
      <c r="K41" s="169">
        <f t="shared" si="9"/>
        <v>0</v>
      </c>
      <c r="L41" s="180">
        <f t="shared" si="9"/>
        <v>0</v>
      </c>
      <c r="M41" s="170">
        <f t="shared" si="9"/>
        <v>0</v>
      </c>
    </row>
    <row r="42" spans="1:13" x14ac:dyDescent="0.35">
      <c r="A42" s="220"/>
      <c r="B42" s="172" t="s">
        <v>161</v>
      </c>
      <c r="C42" s="173">
        <f t="shared" si="4"/>
        <v>693872.578125</v>
      </c>
      <c r="D42" s="168">
        <f t="shared" ref="D42:M42" si="10">D13-D27</f>
        <v>0</v>
      </c>
      <c r="E42" s="169">
        <f t="shared" si="10"/>
        <v>77096.953125</v>
      </c>
      <c r="F42" s="169">
        <f t="shared" si="10"/>
        <v>77096.953125</v>
      </c>
      <c r="G42" s="169">
        <f t="shared" si="10"/>
        <v>77096.953125</v>
      </c>
      <c r="H42" s="169">
        <f t="shared" si="10"/>
        <v>77096.953125</v>
      </c>
      <c r="I42" s="169">
        <f t="shared" si="10"/>
        <v>77096.953125</v>
      </c>
      <c r="J42" s="169">
        <f t="shared" si="10"/>
        <v>77096.953125</v>
      </c>
      <c r="K42" s="169">
        <f t="shared" si="10"/>
        <v>77096.953125</v>
      </c>
      <c r="L42" s="180">
        <f t="shared" si="10"/>
        <v>77096.953125</v>
      </c>
      <c r="M42" s="170">
        <f t="shared" si="10"/>
        <v>77096.953125</v>
      </c>
    </row>
    <row r="43" spans="1:13" ht="15" thickBot="1" x14ac:dyDescent="0.4">
      <c r="A43" s="220"/>
      <c r="B43" s="110" t="s">
        <v>319</v>
      </c>
      <c r="C43" s="167">
        <f t="shared" si="4"/>
        <v>164492.04999999999</v>
      </c>
      <c r="D43" s="168">
        <f t="shared" ref="D43:M43" si="11">D14</f>
        <v>164492.04999999999</v>
      </c>
      <c r="E43" s="169">
        <f t="shared" si="11"/>
        <v>0</v>
      </c>
      <c r="F43" s="169">
        <f t="shared" si="11"/>
        <v>0</v>
      </c>
      <c r="G43" s="169">
        <f t="shared" si="11"/>
        <v>0</v>
      </c>
      <c r="H43" s="169">
        <f t="shared" si="11"/>
        <v>0</v>
      </c>
      <c r="I43" s="169">
        <f t="shared" si="11"/>
        <v>0</v>
      </c>
      <c r="J43" s="169">
        <f t="shared" si="11"/>
        <v>0</v>
      </c>
      <c r="K43" s="169">
        <f t="shared" si="11"/>
        <v>0</v>
      </c>
      <c r="L43" s="180">
        <f t="shared" si="11"/>
        <v>0</v>
      </c>
      <c r="M43" s="170">
        <f t="shared" si="11"/>
        <v>0</v>
      </c>
    </row>
    <row r="44" spans="1:13" ht="15" thickBot="1" x14ac:dyDescent="0.4">
      <c r="A44" s="221"/>
      <c r="B44" s="95" t="s">
        <v>106</v>
      </c>
      <c r="C44" s="174">
        <f>SUM(D44:M44)</f>
        <v>7050068.0969999982</v>
      </c>
      <c r="D44" s="175">
        <f>SUM(D36:D43)</f>
        <v>2540341.0499999993</v>
      </c>
      <c r="E44" s="176">
        <f t="shared" ref="E44:M44" si="12">SUM(E36:E42)</f>
        <v>501080.78299999994</v>
      </c>
      <c r="F44" s="176">
        <f t="shared" si="12"/>
        <v>501080.78299999994</v>
      </c>
      <c r="G44" s="176">
        <f t="shared" si="12"/>
        <v>501080.78299999994</v>
      </c>
      <c r="H44" s="176">
        <f t="shared" si="12"/>
        <v>501080.78299999994</v>
      </c>
      <c r="I44" s="176">
        <f t="shared" si="12"/>
        <v>501080.78299999994</v>
      </c>
      <c r="J44" s="176">
        <f t="shared" si="12"/>
        <v>501080.78299999994</v>
      </c>
      <c r="K44" s="176">
        <f t="shared" si="12"/>
        <v>501080.78299999994</v>
      </c>
      <c r="L44" s="177">
        <f t="shared" si="12"/>
        <v>501080.78299999994</v>
      </c>
      <c r="M44" s="178">
        <f t="shared" si="12"/>
        <v>501080.78299999994</v>
      </c>
    </row>
  </sheetData>
  <mergeCells count="4">
    <mergeCell ref="D5:M5"/>
    <mergeCell ref="A18:C18"/>
    <mergeCell ref="D20:M20"/>
    <mergeCell ref="A32:C32"/>
  </mergeCells>
  <pageMargins left="0.7" right="0.7" top="0.75" bottom="0.75" header="0.3" footer="0.3"/>
  <pageSetup paperSize="9" scale="36" orientation="portrait" r:id="rId1"/>
  <ignoredErrors>
    <ignoredError sqref="D14:M14"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CC"/>
    <outlinePr summaryBelow="0" summaryRight="0"/>
  </sheetPr>
  <dimension ref="A1:E75"/>
  <sheetViews>
    <sheetView view="pageBreakPreview" zoomScale="80" zoomScaleNormal="85" zoomScaleSheetLayoutView="80" workbookViewId="0">
      <selection activeCell="H16" sqref="H16"/>
    </sheetView>
  </sheetViews>
  <sheetFormatPr defaultColWidth="8.81640625" defaultRowHeight="14.5" outlineLevelRow="2" x14ac:dyDescent="0.35"/>
  <cols>
    <col min="1" max="1" width="22.453125" customWidth="1"/>
    <col min="2" max="2" width="23.26953125" customWidth="1"/>
    <col min="3" max="3" width="22.453125" customWidth="1"/>
    <col min="5" max="5" width="17.81640625" customWidth="1"/>
  </cols>
  <sheetData>
    <row r="1" spans="1:5" ht="25.4" customHeight="1" thickBot="1" x14ac:dyDescent="0.55000000000000004">
      <c r="A1" s="785" t="s">
        <v>101</v>
      </c>
      <c r="B1" s="785"/>
      <c r="C1" s="785"/>
      <c r="D1" s="786"/>
      <c r="E1" s="71" t="s">
        <v>35</v>
      </c>
    </row>
    <row r="2" spans="1:5" ht="15" collapsed="1" thickBot="1" x14ac:dyDescent="0.4">
      <c r="A2" s="41" t="s">
        <v>0</v>
      </c>
      <c r="B2" s="76" t="s">
        <v>77</v>
      </c>
      <c r="C2" s="76" t="s">
        <v>76</v>
      </c>
      <c r="D2" s="76" t="s">
        <v>23</v>
      </c>
      <c r="E2" s="17"/>
    </row>
    <row r="3" spans="1:5" ht="15" thickBot="1" x14ac:dyDescent="0.4">
      <c r="A3" s="787" t="s">
        <v>81</v>
      </c>
      <c r="B3" s="788"/>
      <c r="C3" s="788"/>
      <c r="D3" s="82"/>
      <c r="E3" s="78">
        <f>E4+E25</f>
        <v>0</v>
      </c>
    </row>
    <row r="4" spans="1:5" ht="15" outlineLevel="1" thickBot="1" x14ac:dyDescent="0.4">
      <c r="A4" s="17" t="s">
        <v>108</v>
      </c>
      <c r="B4" s="17"/>
      <c r="C4" s="17"/>
      <c r="D4" s="28"/>
      <c r="E4" s="138">
        <f>SUM(E5:E24)</f>
        <v>0</v>
      </c>
    </row>
    <row r="5" spans="1:5" outlineLevel="2" x14ac:dyDescent="0.35">
      <c r="A5" s="783" t="s">
        <v>82</v>
      </c>
      <c r="B5" s="784" t="s">
        <v>83</v>
      </c>
      <c r="C5" s="784">
        <v>635009</v>
      </c>
      <c r="D5" s="68" t="s">
        <v>25</v>
      </c>
      <c r="E5" s="65">
        <v>0</v>
      </c>
    </row>
    <row r="6" spans="1:5" outlineLevel="2" x14ac:dyDescent="0.35">
      <c r="A6" s="783"/>
      <c r="B6" s="784"/>
      <c r="C6" s="784"/>
      <c r="D6" s="69" t="s">
        <v>26</v>
      </c>
      <c r="E6" s="66">
        <v>0</v>
      </c>
    </row>
    <row r="7" spans="1:5" outlineLevel="2" x14ac:dyDescent="0.35">
      <c r="A7" s="783"/>
      <c r="B7" s="784"/>
      <c r="C7" s="784"/>
      <c r="D7" s="69" t="s">
        <v>27</v>
      </c>
      <c r="E7" s="66">
        <v>0</v>
      </c>
    </row>
    <row r="8" spans="1:5" outlineLevel="2" x14ac:dyDescent="0.35">
      <c r="A8" s="783"/>
      <c r="B8" s="784"/>
      <c r="C8" s="784"/>
      <c r="D8" s="69" t="s">
        <v>28</v>
      </c>
      <c r="E8" s="66">
        <v>0</v>
      </c>
    </row>
    <row r="9" spans="1:5" outlineLevel="2" x14ac:dyDescent="0.35">
      <c r="A9" s="783"/>
      <c r="B9" s="784"/>
      <c r="C9" s="784"/>
      <c r="D9" s="69" t="s">
        <v>29</v>
      </c>
      <c r="E9" s="66">
        <v>0</v>
      </c>
    </row>
    <row r="10" spans="1:5" outlineLevel="2" x14ac:dyDescent="0.35">
      <c r="A10" s="783"/>
      <c r="B10" s="784"/>
      <c r="C10" s="784"/>
      <c r="D10" s="69" t="s">
        <v>30</v>
      </c>
      <c r="E10" s="66">
        <v>0</v>
      </c>
    </row>
    <row r="11" spans="1:5" outlineLevel="2" x14ac:dyDescent="0.35">
      <c r="A11" s="783"/>
      <c r="B11" s="784"/>
      <c r="C11" s="784"/>
      <c r="D11" s="69" t="s">
        <v>31</v>
      </c>
      <c r="E11" s="66">
        <v>0</v>
      </c>
    </row>
    <row r="12" spans="1:5" outlineLevel="2" x14ac:dyDescent="0.35">
      <c r="A12" s="783"/>
      <c r="B12" s="784"/>
      <c r="C12" s="784"/>
      <c r="D12" s="69" t="s">
        <v>32</v>
      </c>
      <c r="E12" s="66">
        <v>0</v>
      </c>
    </row>
    <row r="13" spans="1:5" outlineLevel="2" x14ac:dyDescent="0.35">
      <c r="A13" s="783"/>
      <c r="B13" s="784"/>
      <c r="C13" s="784"/>
      <c r="D13" s="69" t="s">
        <v>33</v>
      </c>
      <c r="E13" s="66">
        <v>0</v>
      </c>
    </row>
    <row r="14" spans="1:5" ht="15" outlineLevel="2" thickBot="1" x14ac:dyDescent="0.4">
      <c r="A14" s="783"/>
      <c r="B14" s="784"/>
      <c r="C14" s="784"/>
      <c r="D14" s="70" t="s">
        <v>34</v>
      </c>
      <c r="E14" s="67">
        <v>0</v>
      </c>
    </row>
    <row r="15" spans="1:5" outlineLevel="2" x14ac:dyDescent="0.35">
      <c r="A15" s="783" t="s">
        <v>84</v>
      </c>
      <c r="B15" s="784" t="s">
        <v>75</v>
      </c>
      <c r="C15" s="784">
        <v>718006</v>
      </c>
      <c r="D15" s="68" t="s">
        <v>25</v>
      </c>
      <c r="E15" s="66">
        <v>0</v>
      </c>
    </row>
    <row r="16" spans="1:5" outlineLevel="2" x14ac:dyDescent="0.35">
      <c r="A16" s="783"/>
      <c r="B16" s="784"/>
      <c r="C16" s="784"/>
      <c r="D16" s="69" t="s">
        <v>26</v>
      </c>
      <c r="E16" s="66">
        <v>0</v>
      </c>
    </row>
    <row r="17" spans="1:5" outlineLevel="2" x14ac:dyDescent="0.35">
      <c r="A17" s="783"/>
      <c r="B17" s="784"/>
      <c r="C17" s="784"/>
      <c r="D17" s="69" t="s">
        <v>27</v>
      </c>
      <c r="E17" s="66">
        <v>0</v>
      </c>
    </row>
    <row r="18" spans="1:5" outlineLevel="2" x14ac:dyDescent="0.35">
      <c r="A18" s="783"/>
      <c r="B18" s="784"/>
      <c r="C18" s="784"/>
      <c r="D18" s="69" t="s">
        <v>28</v>
      </c>
      <c r="E18" s="66">
        <v>0</v>
      </c>
    </row>
    <row r="19" spans="1:5" outlineLevel="2" x14ac:dyDescent="0.35">
      <c r="A19" s="783"/>
      <c r="B19" s="784"/>
      <c r="C19" s="784"/>
      <c r="D19" s="69" t="s">
        <v>29</v>
      </c>
      <c r="E19" s="66">
        <v>0</v>
      </c>
    </row>
    <row r="20" spans="1:5" outlineLevel="2" x14ac:dyDescent="0.35">
      <c r="A20" s="783"/>
      <c r="B20" s="784"/>
      <c r="C20" s="784"/>
      <c r="D20" s="69" t="s">
        <v>30</v>
      </c>
      <c r="E20" s="66">
        <v>0</v>
      </c>
    </row>
    <row r="21" spans="1:5" outlineLevel="2" x14ac:dyDescent="0.35">
      <c r="A21" s="783"/>
      <c r="B21" s="784"/>
      <c r="C21" s="784"/>
      <c r="D21" s="69" t="s">
        <v>31</v>
      </c>
      <c r="E21" s="66">
        <v>0</v>
      </c>
    </row>
    <row r="22" spans="1:5" outlineLevel="2" x14ac:dyDescent="0.35">
      <c r="A22" s="783"/>
      <c r="B22" s="784"/>
      <c r="C22" s="784"/>
      <c r="D22" s="69" t="s">
        <v>32</v>
      </c>
      <c r="E22" s="66">
        <v>0</v>
      </c>
    </row>
    <row r="23" spans="1:5" outlineLevel="2" x14ac:dyDescent="0.35">
      <c r="A23" s="783"/>
      <c r="B23" s="784"/>
      <c r="C23" s="784"/>
      <c r="D23" s="69" t="s">
        <v>33</v>
      </c>
      <c r="E23" s="66">
        <v>0</v>
      </c>
    </row>
    <row r="24" spans="1:5" ht="15" outlineLevel="2" thickBot="1" x14ac:dyDescent="0.4">
      <c r="A24" s="783"/>
      <c r="B24" s="784"/>
      <c r="C24" s="784"/>
      <c r="D24" s="70" t="s">
        <v>34</v>
      </c>
      <c r="E24" s="67">
        <v>0</v>
      </c>
    </row>
    <row r="25" spans="1:5" ht="15" outlineLevel="1" thickBot="1" x14ac:dyDescent="0.4">
      <c r="A25" s="17" t="s">
        <v>109</v>
      </c>
      <c r="B25" s="17"/>
      <c r="C25" s="17"/>
      <c r="D25" s="28"/>
      <c r="E25" s="140">
        <f>SUM(E26:E75)</f>
        <v>0</v>
      </c>
    </row>
    <row r="26" spans="1:5" outlineLevel="2" x14ac:dyDescent="0.35">
      <c r="A26" s="783" t="s">
        <v>85</v>
      </c>
      <c r="B26" s="784" t="s">
        <v>83</v>
      </c>
      <c r="C26" s="784">
        <v>635009</v>
      </c>
      <c r="D26" s="68" t="s">
        <v>25</v>
      </c>
      <c r="E26" s="72">
        <v>0</v>
      </c>
    </row>
    <row r="27" spans="1:5" outlineLevel="2" x14ac:dyDescent="0.35">
      <c r="A27" s="783"/>
      <c r="B27" s="784"/>
      <c r="C27" s="784"/>
      <c r="D27" s="69" t="s">
        <v>26</v>
      </c>
      <c r="E27" s="73">
        <v>0</v>
      </c>
    </row>
    <row r="28" spans="1:5" outlineLevel="2" x14ac:dyDescent="0.35">
      <c r="A28" s="783"/>
      <c r="B28" s="784"/>
      <c r="C28" s="784"/>
      <c r="D28" s="69" t="s">
        <v>27</v>
      </c>
      <c r="E28" s="73">
        <v>0</v>
      </c>
    </row>
    <row r="29" spans="1:5" outlineLevel="2" x14ac:dyDescent="0.35">
      <c r="A29" s="783"/>
      <c r="B29" s="784"/>
      <c r="C29" s="784"/>
      <c r="D29" s="69" t="s">
        <v>28</v>
      </c>
      <c r="E29" s="73">
        <v>0</v>
      </c>
    </row>
    <row r="30" spans="1:5" outlineLevel="2" x14ac:dyDescent="0.35">
      <c r="A30" s="783"/>
      <c r="B30" s="784"/>
      <c r="C30" s="784"/>
      <c r="D30" s="69" t="s">
        <v>29</v>
      </c>
      <c r="E30" s="73">
        <v>0</v>
      </c>
    </row>
    <row r="31" spans="1:5" outlineLevel="2" x14ac:dyDescent="0.35">
      <c r="A31" s="783"/>
      <c r="B31" s="784"/>
      <c r="C31" s="784"/>
      <c r="D31" s="69" t="s">
        <v>30</v>
      </c>
      <c r="E31" s="73">
        <v>0</v>
      </c>
    </row>
    <row r="32" spans="1:5" outlineLevel="2" x14ac:dyDescent="0.35">
      <c r="A32" s="783"/>
      <c r="B32" s="784"/>
      <c r="C32" s="784"/>
      <c r="D32" s="69" t="s">
        <v>31</v>
      </c>
      <c r="E32" s="73">
        <v>0</v>
      </c>
    </row>
    <row r="33" spans="1:5" outlineLevel="2" x14ac:dyDescent="0.35">
      <c r="A33" s="783"/>
      <c r="B33" s="784"/>
      <c r="C33" s="784"/>
      <c r="D33" s="69" t="s">
        <v>32</v>
      </c>
      <c r="E33" s="73">
        <v>0</v>
      </c>
    </row>
    <row r="34" spans="1:5" outlineLevel="2" x14ac:dyDescent="0.35">
      <c r="A34" s="783"/>
      <c r="B34" s="784"/>
      <c r="C34" s="784"/>
      <c r="D34" s="69" t="s">
        <v>33</v>
      </c>
      <c r="E34" s="73">
        <v>0</v>
      </c>
    </row>
    <row r="35" spans="1:5" ht="15" outlineLevel="2" thickBot="1" x14ac:dyDescent="0.4">
      <c r="A35" s="783"/>
      <c r="B35" s="784"/>
      <c r="C35" s="784"/>
      <c r="D35" s="70" t="s">
        <v>34</v>
      </c>
      <c r="E35" s="74">
        <v>0</v>
      </c>
    </row>
    <row r="36" spans="1:5" outlineLevel="2" x14ac:dyDescent="0.35">
      <c r="A36" s="783" t="s">
        <v>86</v>
      </c>
      <c r="B36" s="784" t="s">
        <v>80</v>
      </c>
      <c r="C36" s="784">
        <v>637005</v>
      </c>
      <c r="D36" s="68" t="s">
        <v>25</v>
      </c>
      <c r="E36" s="73">
        <v>0</v>
      </c>
    </row>
    <row r="37" spans="1:5" outlineLevel="2" x14ac:dyDescent="0.35">
      <c r="A37" s="783"/>
      <c r="B37" s="784"/>
      <c r="C37" s="784"/>
      <c r="D37" s="69" t="s">
        <v>26</v>
      </c>
      <c r="E37" s="73">
        <v>0</v>
      </c>
    </row>
    <row r="38" spans="1:5" outlineLevel="2" x14ac:dyDescent="0.35">
      <c r="A38" s="783"/>
      <c r="B38" s="784"/>
      <c r="C38" s="784"/>
      <c r="D38" s="69" t="s">
        <v>27</v>
      </c>
      <c r="E38" s="73">
        <v>0</v>
      </c>
    </row>
    <row r="39" spans="1:5" outlineLevel="2" x14ac:dyDescent="0.35">
      <c r="A39" s="783"/>
      <c r="B39" s="784"/>
      <c r="C39" s="784"/>
      <c r="D39" s="69" t="s">
        <v>28</v>
      </c>
      <c r="E39" s="73">
        <v>0</v>
      </c>
    </row>
    <row r="40" spans="1:5" outlineLevel="2" x14ac:dyDescent="0.35">
      <c r="A40" s="783"/>
      <c r="B40" s="784"/>
      <c r="C40" s="784"/>
      <c r="D40" s="69" t="s">
        <v>29</v>
      </c>
      <c r="E40" s="73">
        <v>0</v>
      </c>
    </row>
    <row r="41" spans="1:5" outlineLevel="2" x14ac:dyDescent="0.35">
      <c r="A41" s="783"/>
      <c r="B41" s="784"/>
      <c r="C41" s="784"/>
      <c r="D41" s="69" t="s">
        <v>30</v>
      </c>
      <c r="E41" s="73">
        <v>0</v>
      </c>
    </row>
    <row r="42" spans="1:5" outlineLevel="2" x14ac:dyDescent="0.35">
      <c r="A42" s="783"/>
      <c r="B42" s="784"/>
      <c r="C42" s="784"/>
      <c r="D42" s="69" t="s">
        <v>31</v>
      </c>
      <c r="E42" s="73">
        <v>0</v>
      </c>
    </row>
    <row r="43" spans="1:5" outlineLevel="2" x14ac:dyDescent="0.35">
      <c r="A43" s="783"/>
      <c r="B43" s="784"/>
      <c r="C43" s="784"/>
      <c r="D43" s="69" t="s">
        <v>32</v>
      </c>
      <c r="E43" s="73">
        <v>0</v>
      </c>
    </row>
    <row r="44" spans="1:5" outlineLevel="2" x14ac:dyDescent="0.35">
      <c r="A44" s="783"/>
      <c r="B44" s="784"/>
      <c r="C44" s="784"/>
      <c r="D44" s="69" t="s">
        <v>33</v>
      </c>
      <c r="E44" s="73">
        <v>0</v>
      </c>
    </row>
    <row r="45" spans="1:5" ht="15" outlineLevel="2" thickBot="1" x14ac:dyDescent="0.4">
      <c r="A45" s="783"/>
      <c r="B45" s="784"/>
      <c r="C45" s="784"/>
      <c r="D45" s="70" t="s">
        <v>34</v>
      </c>
      <c r="E45" s="74">
        <v>0</v>
      </c>
    </row>
    <row r="46" spans="1:5" outlineLevel="2" x14ac:dyDescent="0.35">
      <c r="A46" s="783" t="s">
        <v>87</v>
      </c>
      <c r="B46" s="784" t="s">
        <v>75</v>
      </c>
      <c r="C46" s="784">
        <v>718006</v>
      </c>
      <c r="D46" s="68" t="s">
        <v>25</v>
      </c>
      <c r="E46" s="73">
        <v>0</v>
      </c>
    </row>
    <row r="47" spans="1:5" outlineLevel="2" x14ac:dyDescent="0.35">
      <c r="A47" s="783"/>
      <c r="B47" s="784"/>
      <c r="C47" s="784"/>
      <c r="D47" s="69" t="s">
        <v>26</v>
      </c>
      <c r="E47" s="73">
        <v>0</v>
      </c>
    </row>
    <row r="48" spans="1:5" outlineLevel="2" x14ac:dyDescent="0.35">
      <c r="A48" s="783"/>
      <c r="B48" s="784"/>
      <c r="C48" s="784"/>
      <c r="D48" s="69" t="s">
        <v>27</v>
      </c>
      <c r="E48" s="73">
        <v>0</v>
      </c>
    </row>
    <row r="49" spans="1:5" outlineLevel="2" x14ac:dyDescent="0.35">
      <c r="A49" s="783"/>
      <c r="B49" s="784"/>
      <c r="C49" s="784"/>
      <c r="D49" s="69" t="s">
        <v>28</v>
      </c>
      <c r="E49" s="73">
        <v>0</v>
      </c>
    </row>
    <row r="50" spans="1:5" outlineLevel="2" x14ac:dyDescent="0.35">
      <c r="A50" s="783"/>
      <c r="B50" s="784"/>
      <c r="C50" s="784"/>
      <c r="D50" s="69" t="s">
        <v>29</v>
      </c>
      <c r="E50" s="73">
        <v>0</v>
      </c>
    </row>
    <row r="51" spans="1:5" outlineLevel="2" x14ac:dyDescent="0.35">
      <c r="A51" s="783"/>
      <c r="B51" s="784"/>
      <c r="C51" s="784"/>
      <c r="D51" s="69" t="s">
        <v>30</v>
      </c>
      <c r="E51" s="73">
        <v>0</v>
      </c>
    </row>
    <row r="52" spans="1:5" outlineLevel="2" x14ac:dyDescent="0.35">
      <c r="A52" s="783"/>
      <c r="B52" s="784"/>
      <c r="C52" s="784"/>
      <c r="D52" s="69" t="s">
        <v>31</v>
      </c>
      <c r="E52" s="73">
        <v>0</v>
      </c>
    </row>
    <row r="53" spans="1:5" outlineLevel="2" x14ac:dyDescent="0.35">
      <c r="A53" s="783"/>
      <c r="B53" s="784"/>
      <c r="C53" s="784"/>
      <c r="D53" s="69" t="s">
        <v>32</v>
      </c>
      <c r="E53" s="73">
        <v>0</v>
      </c>
    </row>
    <row r="54" spans="1:5" outlineLevel="2" x14ac:dyDescent="0.35">
      <c r="A54" s="783"/>
      <c r="B54" s="784"/>
      <c r="C54" s="784"/>
      <c r="D54" s="69" t="s">
        <v>33</v>
      </c>
      <c r="E54" s="73">
        <v>0</v>
      </c>
    </row>
    <row r="55" spans="1:5" ht="15" outlineLevel="2" thickBot="1" x14ac:dyDescent="0.4">
      <c r="A55" s="783"/>
      <c r="B55" s="784"/>
      <c r="C55" s="784"/>
      <c r="D55" s="70" t="s">
        <v>34</v>
      </c>
      <c r="E55" s="74">
        <v>0</v>
      </c>
    </row>
    <row r="56" spans="1:5" outlineLevel="2" x14ac:dyDescent="0.35">
      <c r="A56" s="783" t="s">
        <v>88</v>
      </c>
      <c r="B56" s="784" t="s">
        <v>89</v>
      </c>
      <c r="C56" s="784"/>
      <c r="D56" s="68" t="s">
        <v>25</v>
      </c>
      <c r="E56" s="73">
        <v>0</v>
      </c>
    </row>
    <row r="57" spans="1:5" outlineLevel="2" x14ac:dyDescent="0.35">
      <c r="A57" s="783"/>
      <c r="B57" s="784"/>
      <c r="C57" s="784"/>
      <c r="D57" s="69" t="s">
        <v>26</v>
      </c>
      <c r="E57" s="73">
        <v>0</v>
      </c>
    </row>
    <row r="58" spans="1:5" outlineLevel="2" x14ac:dyDescent="0.35">
      <c r="A58" s="783"/>
      <c r="B58" s="784"/>
      <c r="C58" s="784"/>
      <c r="D58" s="69" t="s">
        <v>27</v>
      </c>
      <c r="E58" s="73">
        <v>0</v>
      </c>
    </row>
    <row r="59" spans="1:5" outlineLevel="2" x14ac:dyDescent="0.35">
      <c r="A59" s="783"/>
      <c r="B59" s="784"/>
      <c r="C59" s="784"/>
      <c r="D59" s="69" t="s">
        <v>28</v>
      </c>
      <c r="E59" s="73">
        <v>0</v>
      </c>
    </row>
    <row r="60" spans="1:5" outlineLevel="2" x14ac:dyDescent="0.35">
      <c r="A60" s="783"/>
      <c r="B60" s="784"/>
      <c r="C60" s="784"/>
      <c r="D60" s="69" t="s">
        <v>29</v>
      </c>
      <c r="E60" s="73">
        <v>0</v>
      </c>
    </row>
    <row r="61" spans="1:5" outlineLevel="2" x14ac:dyDescent="0.35">
      <c r="A61" s="783"/>
      <c r="B61" s="784"/>
      <c r="C61" s="784"/>
      <c r="D61" s="69" t="s">
        <v>30</v>
      </c>
      <c r="E61" s="73">
        <v>0</v>
      </c>
    </row>
    <row r="62" spans="1:5" outlineLevel="2" x14ac:dyDescent="0.35">
      <c r="A62" s="783"/>
      <c r="B62" s="784"/>
      <c r="C62" s="784"/>
      <c r="D62" s="69" t="s">
        <v>31</v>
      </c>
      <c r="E62" s="73">
        <v>0</v>
      </c>
    </row>
    <row r="63" spans="1:5" outlineLevel="2" x14ac:dyDescent="0.35">
      <c r="A63" s="783"/>
      <c r="B63" s="784"/>
      <c r="C63" s="784"/>
      <c r="D63" s="69" t="s">
        <v>32</v>
      </c>
      <c r="E63" s="73">
        <v>0</v>
      </c>
    </row>
    <row r="64" spans="1:5" outlineLevel="2" x14ac:dyDescent="0.35">
      <c r="A64" s="783"/>
      <c r="B64" s="784"/>
      <c r="C64" s="784"/>
      <c r="D64" s="69" t="s">
        <v>33</v>
      </c>
      <c r="E64" s="73">
        <v>0</v>
      </c>
    </row>
    <row r="65" spans="1:5" ht="15" outlineLevel="2" thickBot="1" x14ac:dyDescent="0.4">
      <c r="A65" s="783"/>
      <c r="B65" s="784"/>
      <c r="C65" s="784"/>
      <c r="D65" s="70" t="s">
        <v>34</v>
      </c>
      <c r="E65" s="74">
        <v>0</v>
      </c>
    </row>
    <row r="66" spans="1:5" outlineLevel="2" x14ac:dyDescent="0.35">
      <c r="A66" s="783" t="s">
        <v>79</v>
      </c>
      <c r="B66" s="784" t="s">
        <v>80</v>
      </c>
      <c r="C66" s="784">
        <v>637001</v>
      </c>
      <c r="D66" s="68" t="s">
        <v>25</v>
      </c>
      <c r="E66" s="73">
        <v>0</v>
      </c>
    </row>
    <row r="67" spans="1:5" outlineLevel="2" x14ac:dyDescent="0.35">
      <c r="A67" s="783"/>
      <c r="B67" s="784"/>
      <c r="C67" s="784"/>
      <c r="D67" s="69" t="s">
        <v>26</v>
      </c>
      <c r="E67" s="73">
        <v>0</v>
      </c>
    </row>
    <row r="68" spans="1:5" outlineLevel="2" x14ac:dyDescent="0.35">
      <c r="A68" s="783"/>
      <c r="B68" s="784"/>
      <c r="C68" s="784"/>
      <c r="D68" s="69" t="s">
        <v>27</v>
      </c>
      <c r="E68" s="73">
        <v>0</v>
      </c>
    </row>
    <row r="69" spans="1:5" outlineLevel="2" x14ac:dyDescent="0.35">
      <c r="A69" s="783"/>
      <c r="B69" s="784"/>
      <c r="C69" s="784"/>
      <c r="D69" s="69" t="s">
        <v>28</v>
      </c>
      <c r="E69" s="73">
        <v>0</v>
      </c>
    </row>
    <row r="70" spans="1:5" outlineLevel="2" x14ac:dyDescent="0.35">
      <c r="A70" s="783"/>
      <c r="B70" s="784"/>
      <c r="C70" s="784"/>
      <c r="D70" s="69" t="s">
        <v>29</v>
      </c>
      <c r="E70" s="73">
        <v>0</v>
      </c>
    </row>
    <row r="71" spans="1:5" outlineLevel="2" x14ac:dyDescent="0.35">
      <c r="A71" s="783"/>
      <c r="B71" s="784"/>
      <c r="C71" s="784"/>
      <c r="D71" s="69" t="s">
        <v>30</v>
      </c>
      <c r="E71" s="73">
        <v>0</v>
      </c>
    </row>
    <row r="72" spans="1:5" outlineLevel="2" x14ac:dyDescent="0.35">
      <c r="A72" s="783"/>
      <c r="B72" s="784"/>
      <c r="C72" s="784"/>
      <c r="D72" s="69" t="s">
        <v>31</v>
      </c>
      <c r="E72" s="73">
        <v>0</v>
      </c>
    </row>
    <row r="73" spans="1:5" outlineLevel="2" x14ac:dyDescent="0.35">
      <c r="A73" s="783"/>
      <c r="B73" s="784"/>
      <c r="C73" s="784"/>
      <c r="D73" s="69" t="s">
        <v>32</v>
      </c>
      <c r="E73" s="73">
        <v>0</v>
      </c>
    </row>
    <row r="74" spans="1:5" outlineLevel="2" x14ac:dyDescent="0.35">
      <c r="A74" s="783"/>
      <c r="B74" s="784"/>
      <c r="C74" s="784"/>
      <c r="D74" s="69" t="s">
        <v>33</v>
      </c>
      <c r="E74" s="73">
        <v>0</v>
      </c>
    </row>
    <row r="75" spans="1:5" ht="15" outlineLevel="2" thickBot="1" x14ac:dyDescent="0.4">
      <c r="A75" s="783"/>
      <c r="B75" s="784"/>
      <c r="C75" s="784"/>
      <c r="D75" s="70" t="s">
        <v>34</v>
      </c>
      <c r="E75" s="74">
        <v>0</v>
      </c>
    </row>
  </sheetData>
  <mergeCells count="23">
    <mergeCell ref="A1:D1"/>
    <mergeCell ref="A3:C3"/>
    <mergeCell ref="A5:A14"/>
    <mergeCell ref="B5:B14"/>
    <mergeCell ref="C5:C14"/>
    <mergeCell ref="A15:A24"/>
    <mergeCell ref="B15:B24"/>
    <mergeCell ref="C15:C24"/>
    <mergeCell ref="A26:A35"/>
    <mergeCell ref="B26:B35"/>
    <mergeCell ref="C26:C35"/>
    <mergeCell ref="A36:A45"/>
    <mergeCell ref="B36:B45"/>
    <mergeCell ref="C36:C45"/>
    <mergeCell ref="A46:A55"/>
    <mergeCell ref="B46:B55"/>
    <mergeCell ref="C46:C55"/>
    <mergeCell ref="A56:A65"/>
    <mergeCell ref="B56:B65"/>
    <mergeCell ref="C56:C65"/>
    <mergeCell ref="A66:A75"/>
    <mergeCell ref="B66:B75"/>
    <mergeCell ref="C66:C75"/>
  </mergeCells>
  <pageMargins left="0.7" right="0.7" top="0.75" bottom="0.75" header="0.3" footer="0.3"/>
  <pageSetup paperSize="9" scale="6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CC"/>
    <outlinePr summaryBelow="0" summaryRight="0"/>
  </sheetPr>
  <dimension ref="A1:E53"/>
  <sheetViews>
    <sheetView view="pageBreakPreview" zoomScale="80" zoomScaleNormal="85" zoomScaleSheetLayoutView="80" workbookViewId="0">
      <selection activeCell="F13" sqref="F13"/>
    </sheetView>
  </sheetViews>
  <sheetFormatPr defaultColWidth="8.81640625" defaultRowHeight="14.5" outlineLevelRow="1" x14ac:dyDescent="0.35"/>
  <cols>
    <col min="1" max="1" width="22.453125" customWidth="1"/>
    <col min="2" max="2" width="23.26953125" customWidth="1"/>
    <col min="3" max="3" width="22.453125" customWidth="1"/>
    <col min="5" max="5" width="17.81640625" customWidth="1"/>
  </cols>
  <sheetData>
    <row r="1" spans="1:5" ht="25.4" customHeight="1" thickBot="1" x14ac:dyDescent="0.55000000000000004">
      <c r="A1" s="785" t="s">
        <v>100</v>
      </c>
      <c r="B1" s="785"/>
      <c r="C1" s="785"/>
      <c r="D1" s="786"/>
      <c r="E1" s="71" t="s">
        <v>35</v>
      </c>
    </row>
    <row r="2" spans="1:5" ht="15" thickBot="1" x14ac:dyDescent="0.4">
      <c r="A2" s="41" t="s">
        <v>0</v>
      </c>
      <c r="B2" s="76" t="s">
        <v>77</v>
      </c>
      <c r="C2" s="76" t="s">
        <v>76</v>
      </c>
      <c r="D2" s="76" t="s">
        <v>23</v>
      </c>
      <c r="E2" s="17"/>
    </row>
    <row r="3" spans="1:5" ht="15" thickBot="1" x14ac:dyDescent="0.4">
      <c r="A3" s="789" t="s">
        <v>91</v>
      </c>
      <c r="B3" s="789"/>
      <c r="C3" s="789"/>
      <c r="D3" s="77"/>
      <c r="E3" s="78">
        <f>SUM(E4:E53)</f>
        <v>0</v>
      </c>
    </row>
    <row r="4" spans="1:5" outlineLevel="1" x14ac:dyDescent="0.35">
      <c r="A4" s="783" t="s">
        <v>96</v>
      </c>
      <c r="B4" s="784" t="s">
        <v>83</v>
      </c>
      <c r="C4" s="784">
        <v>635002</v>
      </c>
      <c r="D4" s="68" t="s">
        <v>25</v>
      </c>
      <c r="E4" s="72">
        <v>0</v>
      </c>
    </row>
    <row r="5" spans="1:5" outlineLevel="1" x14ac:dyDescent="0.35">
      <c r="A5" s="783"/>
      <c r="B5" s="784"/>
      <c r="C5" s="784"/>
      <c r="D5" s="69" t="s">
        <v>26</v>
      </c>
      <c r="E5" s="73">
        <v>0</v>
      </c>
    </row>
    <row r="6" spans="1:5" outlineLevel="1" x14ac:dyDescent="0.35">
      <c r="A6" s="783"/>
      <c r="B6" s="784"/>
      <c r="C6" s="784"/>
      <c r="D6" s="69" t="s">
        <v>27</v>
      </c>
      <c r="E6" s="73">
        <v>0</v>
      </c>
    </row>
    <row r="7" spans="1:5" outlineLevel="1" x14ac:dyDescent="0.35">
      <c r="A7" s="783"/>
      <c r="B7" s="784"/>
      <c r="C7" s="784"/>
      <c r="D7" s="69" t="s">
        <v>28</v>
      </c>
      <c r="E7" s="73">
        <v>0</v>
      </c>
    </row>
    <row r="8" spans="1:5" outlineLevel="1" x14ac:dyDescent="0.35">
      <c r="A8" s="783"/>
      <c r="B8" s="784"/>
      <c r="C8" s="784"/>
      <c r="D8" s="69" t="s">
        <v>29</v>
      </c>
      <c r="E8" s="73">
        <v>0</v>
      </c>
    </row>
    <row r="9" spans="1:5" outlineLevel="1" x14ac:dyDescent="0.35">
      <c r="A9" s="783"/>
      <c r="B9" s="784"/>
      <c r="C9" s="784"/>
      <c r="D9" s="69" t="s">
        <v>30</v>
      </c>
      <c r="E9" s="73">
        <v>0</v>
      </c>
    </row>
    <row r="10" spans="1:5" outlineLevel="1" x14ac:dyDescent="0.35">
      <c r="A10" s="783"/>
      <c r="B10" s="784"/>
      <c r="C10" s="784"/>
      <c r="D10" s="69" t="s">
        <v>31</v>
      </c>
      <c r="E10" s="73">
        <v>0</v>
      </c>
    </row>
    <row r="11" spans="1:5" outlineLevel="1" x14ac:dyDescent="0.35">
      <c r="A11" s="783"/>
      <c r="B11" s="784"/>
      <c r="C11" s="784"/>
      <c r="D11" s="69" t="s">
        <v>32</v>
      </c>
      <c r="E11" s="73">
        <v>0</v>
      </c>
    </row>
    <row r="12" spans="1:5" outlineLevel="1" x14ac:dyDescent="0.35">
      <c r="A12" s="783"/>
      <c r="B12" s="784"/>
      <c r="C12" s="784"/>
      <c r="D12" s="69" t="s">
        <v>33</v>
      </c>
      <c r="E12" s="73">
        <v>0</v>
      </c>
    </row>
    <row r="13" spans="1:5" ht="15" outlineLevel="1" thickBot="1" x14ac:dyDescent="0.4">
      <c r="A13" s="783"/>
      <c r="B13" s="784"/>
      <c r="C13" s="784"/>
      <c r="D13" s="70" t="s">
        <v>34</v>
      </c>
      <c r="E13" s="74">
        <v>0</v>
      </c>
    </row>
    <row r="14" spans="1:5" outlineLevel="1" x14ac:dyDescent="0.35">
      <c r="A14" s="783" t="s">
        <v>97</v>
      </c>
      <c r="B14" s="783" t="s">
        <v>95</v>
      </c>
      <c r="C14" s="784">
        <v>718002</v>
      </c>
      <c r="D14" s="68" t="s">
        <v>25</v>
      </c>
      <c r="E14" s="73">
        <v>0</v>
      </c>
    </row>
    <row r="15" spans="1:5" outlineLevel="1" x14ac:dyDescent="0.35">
      <c r="A15" s="783"/>
      <c r="B15" s="784"/>
      <c r="C15" s="784"/>
      <c r="D15" s="69" t="s">
        <v>26</v>
      </c>
      <c r="E15" s="73">
        <v>0</v>
      </c>
    </row>
    <row r="16" spans="1:5" outlineLevel="1" x14ac:dyDescent="0.35">
      <c r="A16" s="783"/>
      <c r="B16" s="784"/>
      <c r="C16" s="784"/>
      <c r="D16" s="69" t="s">
        <v>27</v>
      </c>
      <c r="E16" s="73">
        <v>0</v>
      </c>
    </row>
    <row r="17" spans="1:5" outlineLevel="1" x14ac:dyDescent="0.35">
      <c r="A17" s="783"/>
      <c r="B17" s="784"/>
      <c r="C17" s="784"/>
      <c r="D17" s="69" t="s">
        <v>28</v>
      </c>
      <c r="E17" s="73">
        <v>0</v>
      </c>
    </row>
    <row r="18" spans="1:5" outlineLevel="1" x14ac:dyDescent="0.35">
      <c r="A18" s="783"/>
      <c r="B18" s="784"/>
      <c r="C18" s="784"/>
      <c r="D18" s="69" t="s">
        <v>29</v>
      </c>
      <c r="E18" s="73">
        <v>0</v>
      </c>
    </row>
    <row r="19" spans="1:5" outlineLevel="1" x14ac:dyDescent="0.35">
      <c r="A19" s="783"/>
      <c r="B19" s="784"/>
      <c r="C19" s="784"/>
      <c r="D19" s="69" t="s">
        <v>30</v>
      </c>
      <c r="E19" s="73">
        <v>0</v>
      </c>
    </row>
    <row r="20" spans="1:5" outlineLevel="1" x14ac:dyDescent="0.35">
      <c r="A20" s="783"/>
      <c r="B20" s="784"/>
      <c r="C20" s="784"/>
      <c r="D20" s="69" t="s">
        <v>31</v>
      </c>
      <c r="E20" s="73">
        <v>0</v>
      </c>
    </row>
    <row r="21" spans="1:5" outlineLevel="1" x14ac:dyDescent="0.35">
      <c r="A21" s="783"/>
      <c r="B21" s="784"/>
      <c r="C21" s="784"/>
      <c r="D21" s="69" t="s">
        <v>32</v>
      </c>
      <c r="E21" s="73">
        <v>0</v>
      </c>
    </row>
    <row r="22" spans="1:5" outlineLevel="1" x14ac:dyDescent="0.35">
      <c r="A22" s="783"/>
      <c r="B22" s="784"/>
      <c r="C22" s="784"/>
      <c r="D22" s="69" t="s">
        <v>33</v>
      </c>
      <c r="E22" s="73">
        <v>0</v>
      </c>
    </row>
    <row r="23" spans="1:5" ht="15" outlineLevel="1" thickBot="1" x14ac:dyDescent="0.4">
      <c r="A23" s="783"/>
      <c r="B23" s="784"/>
      <c r="C23" s="784"/>
      <c r="D23" s="70" t="s">
        <v>34</v>
      </c>
      <c r="E23" s="74">
        <v>0</v>
      </c>
    </row>
    <row r="24" spans="1:5" outlineLevel="1" x14ac:dyDescent="0.35">
      <c r="A24" s="783" t="s">
        <v>98</v>
      </c>
      <c r="B24" s="784"/>
      <c r="C24" s="784"/>
      <c r="D24" s="68" t="s">
        <v>25</v>
      </c>
      <c r="E24" s="73">
        <v>0</v>
      </c>
    </row>
    <row r="25" spans="1:5" outlineLevel="1" x14ac:dyDescent="0.35">
      <c r="A25" s="783"/>
      <c r="B25" s="784"/>
      <c r="C25" s="784"/>
      <c r="D25" s="69" t="s">
        <v>26</v>
      </c>
      <c r="E25" s="73">
        <v>0</v>
      </c>
    </row>
    <row r="26" spans="1:5" outlineLevel="1" x14ac:dyDescent="0.35">
      <c r="A26" s="783"/>
      <c r="B26" s="784"/>
      <c r="C26" s="784"/>
      <c r="D26" s="69" t="s">
        <v>27</v>
      </c>
      <c r="E26" s="73">
        <v>0</v>
      </c>
    </row>
    <row r="27" spans="1:5" outlineLevel="1" x14ac:dyDescent="0.35">
      <c r="A27" s="783"/>
      <c r="B27" s="784"/>
      <c r="C27" s="784"/>
      <c r="D27" s="69" t="s">
        <v>28</v>
      </c>
      <c r="E27" s="73">
        <v>0</v>
      </c>
    </row>
    <row r="28" spans="1:5" outlineLevel="1" x14ac:dyDescent="0.35">
      <c r="A28" s="783"/>
      <c r="B28" s="784"/>
      <c r="C28" s="784"/>
      <c r="D28" s="69" t="s">
        <v>29</v>
      </c>
      <c r="E28" s="73">
        <v>0</v>
      </c>
    </row>
    <row r="29" spans="1:5" outlineLevel="1" x14ac:dyDescent="0.35">
      <c r="A29" s="783"/>
      <c r="B29" s="784"/>
      <c r="C29" s="784"/>
      <c r="D29" s="69" t="s">
        <v>30</v>
      </c>
      <c r="E29" s="73">
        <v>0</v>
      </c>
    </row>
    <row r="30" spans="1:5" outlineLevel="1" x14ac:dyDescent="0.35">
      <c r="A30" s="783"/>
      <c r="B30" s="784"/>
      <c r="C30" s="784"/>
      <c r="D30" s="69" t="s">
        <v>31</v>
      </c>
      <c r="E30" s="73">
        <v>0</v>
      </c>
    </row>
    <row r="31" spans="1:5" outlineLevel="1" x14ac:dyDescent="0.35">
      <c r="A31" s="783"/>
      <c r="B31" s="784"/>
      <c r="C31" s="784"/>
      <c r="D31" s="69" t="s">
        <v>32</v>
      </c>
      <c r="E31" s="73">
        <v>0</v>
      </c>
    </row>
    <row r="32" spans="1:5" outlineLevel="1" x14ac:dyDescent="0.35">
      <c r="A32" s="783"/>
      <c r="B32" s="784"/>
      <c r="C32" s="784"/>
      <c r="D32" s="69" t="s">
        <v>33</v>
      </c>
      <c r="E32" s="73">
        <v>0</v>
      </c>
    </row>
    <row r="33" spans="1:5" ht="15" outlineLevel="1" thickBot="1" x14ac:dyDescent="0.4">
      <c r="A33" s="783"/>
      <c r="B33" s="784"/>
      <c r="C33" s="784"/>
      <c r="D33" s="70" t="s">
        <v>34</v>
      </c>
      <c r="E33" s="74">
        <v>0</v>
      </c>
    </row>
    <row r="34" spans="1:5" outlineLevel="1" x14ac:dyDescent="0.35">
      <c r="A34" s="783" t="s">
        <v>99</v>
      </c>
      <c r="B34" s="784"/>
      <c r="C34" s="784"/>
      <c r="D34" s="68" t="s">
        <v>25</v>
      </c>
      <c r="E34" s="73">
        <v>0</v>
      </c>
    </row>
    <row r="35" spans="1:5" outlineLevel="1" x14ac:dyDescent="0.35">
      <c r="A35" s="783"/>
      <c r="B35" s="784"/>
      <c r="C35" s="784"/>
      <c r="D35" s="69" t="s">
        <v>26</v>
      </c>
      <c r="E35" s="73">
        <v>0</v>
      </c>
    </row>
    <row r="36" spans="1:5" outlineLevel="1" x14ac:dyDescent="0.35">
      <c r="A36" s="783"/>
      <c r="B36" s="784"/>
      <c r="C36" s="784"/>
      <c r="D36" s="69" t="s">
        <v>27</v>
      </c>
      <c r="E36" s="73">
        <v>0</v>
      </c>
    </row>
    <row r="37" spans="1:5" outlineLevel="1" x14ac:dyDescent="0.35">
      <c r="A37" s="783"/>
      <c r="B37" s="784"/>
      <c r="C37" s="784"/>
      <c r="D37" s="69" t="s">
        <v>28</v>
      </c>
      <c r="E37" s="73">
        <v>0</v>
      </c>
    </row>
    <row r="38" spans="1:5" outlineLevel="1" x14ac:dyDescent="0.35">
      <c r="A38" s="783"/>
      <c r="B38" s="784"/>
      <c r="C38" s="784"/>
      <c r="D38" s="69" t="s">
        <v>29</v>
      </c>
      <c r="E38" s="73">
        <v>0</v>
      </c>
    </row>
    <row r="39" spans="1:5" outlineLevel="1" x14ac:dyDescent="0.35">
      <c r="A39" s="783"/>
      <c r="B39" s="784"/>
      <c r="C39" s="784"/>
      <c r="D39" s="69" t="s">
        <v>30</v>
      </c>
      <c r="E39" s="73">
        <v>0</v>
      </c>
    </row>
    <row r="40" spans="1:5" outlineLevel="1" x14ac:dyDescent="0.35">
      <c r="A40" s="783"/>
      <c r="B40" s="784"/>
      <c r="C40" s="784"/>
      <c r="D40" s="69" t="s">
        <v>31</v>
      </c>
      <c r="E40" s="73">
        <v>0</v>
      </c>
    </row>
    <row r="41" spans="1:5" outlineLevel="1" x14ac:dyDescent="0.35">
      <c r="A41" s="783"/>
      <c r="B41" s="784"/>
      <c r="C41" s="784"/>
      <c r="D41" s="69" t="s">
        <v>32</v>
      </c>
      <c r="E41" s="73">
        <v>0</v>
      </c>
    </row>
    <row r="42" spans="1:5" outlineLevel="1" x14ac:dyDescent="0.35">
      <c r="A42" s="783"/>
      <c r="B42" s="784"/>
      <c r="C42" s="784"/>
      <c r="D42" s="69" t="s">
        <v>33</v>
      </c>
      <c r="E42" s="73">
        <v>0</v>
      </c>
    </row>
    <row r="43" spans="1:5" ht="15" outlineLevel="1" thickBot="1" x14ac:dyDescent="0.4">
      <c r="A43" s="783"/>
      <c r="B43" s="784"/>
      <c r="C43" s="784"/>
      <c r="D43" s="70" t="s">
        <v>34</v>
      </c>
      <c r="E43" s="74">
        <v>0</v>
      </c>
    </row>
    <row r="44" spans="1:5" outlineLevel="1" x14ac:dyDescent="0.35">
      <c r="A44" s="783" t="s">
        <v>94</v>
      </c>
      <c r="B44" s="784" t="s">
        <v>80</v>
      </c>
      <c r="C44" s="784">
        <v>637001</v>
      </c>
      <c r="D44" s="68" t="s">
        <v>25</v>
      </c>
      <c r="E44" s="73">
        <v>0</v>
      </c>
    </row>
    <row r="45" spans="1:5" outlineLevel="1" x14ac:dyDescent="0.35">
      <c r="A45" s="783"/>
      <c r="B45" s="784"/>
      <c r="C45" s="784"/>
      <c r="D45" s="69" t="s">
        <v>26</v>
      </c>
      <c r="E45" s="73">
        <v>0</v>
      </c>
    </row>
    <row r="46" spans="1:5" outlineLevel="1" x14ac:dyDescent="0.35">
      <c r="A46" s="783"/>
      <c r="B46" s="784"/>
      <c r="C46" s="784"/>
      <c r="D46" s="69" t="s">
        <v>27</v>
      </c>
      <c r="E46" s="73">
        <v>0</v>
      </c>
    </row>
    <row r="47" spans="1:5" outlineLevel="1" x14ac:dyDescent="0.35">
      <c r="A47" s="783"/>
      <c r="B47" s="784"/>
      <c r="C47" s="784"/>
      <c r="D47" s="69" t="s">
        <v>28</v>
      </c>
      <c r="E47" s="73">
        <v>0</v>
      </c>
    </row>
    <row r="48" spans="1:5" outlineLevel="1" x14ac:dyDescent="0.35">
      <c r="A48" s="783"/>
      <c r="B48" s="784"/>
      <c r="C48" s="784"/>
      <c r="D48" s="69" t="s">
        <v>29</v>
      </c>
      <c r="E48" s="73">
        <v>0</v>
      </c>
    </row>
    <row r="49" spans="1:5" outlineLevel="1" x14ac:dyDescent="0.35">
      <c r="A49" s="783"/>
      <c r="B49" s="784"/>
      <c r="C49" s="784"/>
      <c r="D49" s="69" t="s">
        <v>30</v>
      </c>
      <c r="E49" s="73">
        <v>0</v>
      </c>
    </row>
    <row r="50" spans="1:5" outlineLevel="1" x14ac:dyDescent="0.35">
      <c r="A50" s="783"/>
      <c r="B50" s="784"/>
      <c r="C50" s="784"/>
      <c r="D50" s="69" t="s">
        <v>31</v>
      </c>
      <c r="E50" s="73">
        <v>0</v>
      </c>
    </row>
    <row r="51" spans="1:5" outlineLevel="1" x14ac:dyDescent="0.35">
      <c r="A51" s="783"/>
      <c r="B51" s="784"/>
      <c r="C51" s="784"/>
      <c r="D51" s="69" t="s">
        <v>32</v>
      </c>
      <c r="E51" s="73">
        <v>0</v>
      </c>
    </row>
    <row r="52" spans="1:5" outlineLevel="1" x14ac:dyDescent="0.35">
      <c r="A52" s="783"/>
      <c r="B52" s="784"/>
      <c r="C52" s="784"/>
      <c r="D52" s="69" t="s">
        <v>33</v>
      </c>
      <c r="E52" s="73">
        <v>0</v>
      </c>
    </row>
    <row r="53" spans="1:5" ht="15" outlineLevel="1" thickBot="1" x14ac:dyDescent="0.4">
      <c r="A53" s="783"/>
      <c r="B53" s="784"/>
      <c r="C53" s="784"/>
      <c r="D53" s="70" t="s">
        <v>34</v>
      </c>
      <c r="E53" s="74">
        <v>0</v>
      </c>
    </row>
  </sheetData>
  <mergeCells count="17">
    <mergeCell ref="A1:D1"/>
    <mergeCell ref="A3:C3"/>
    <mergeCell ref="A4:A13"/>
    <mergeCell ref="B4:B13"/>
    <mergeCell ref="C4:C13"/>
    <mergeCell ref="A14:A23"/>
    <mergeCell ref="B14:B23"/>
    <mergeCell ref="C14:C23"/>
    <mergeCell ref="A24:A33"/>
    <mergeCell ref="B24:B33"/>
    <mergeCell ref="C24:C33"/>
    <mergeCell ref="A34:A43"/>
    <mergeCell ref="B34:B43"/>
    <mergeCell ref="C34:C43"/>
    <mergeCell ref="A44:A53"/>
    <mergeCell ref="B44:B53"/>
    <mergeCell ref="C44:C53"/>
  </mergeCells>
  <pageMargins left="0.7" right="0.7" top="0.75" bottom="0.75" header="0.3" footer="0.3"/>
  <pageSetup paperSize="9" scale="9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CC"/>
    <outlinePr summaryBelow="0" summaryRight="0"/>
  </sheetPr>
  <dimension ref="A1:L170"/>
  <sheetViews>
    <sheetView view="pageBreakPreview" topLeftCell="A133" zoomScale="60" zoomScaleNormal="85" workbookViewId="0">
      <selection activeCell="K111" sqref="K111"/>
    </sheetView>
  </sheetViews>
  <sheetFormatPr defaultColWidth="8.81640625" defaultRowHeight="14.5" outlineLevelRow="2" outlineLevelCol="1" x14ac:dyDescent="0.35"/>
  <cols>
    <col min="1" max="1" width="22.453125" customWidth="1"/>
    <col min="2" max="2" width="23.26953125" customWidth="1"/>
    <col min="3" max="3" width="22.453125" customWidth="1"/>
    <col min="5" max="5" width="17.81640625" customWidth="1"/>
    <col min="6" max="11" width="19.26953125" customWidth="1" outlineLevel="1"/>
    <col min="12" max="12" width="22.1796875" customWidth="1" outlineLevel="1"/>
  </cols>
  <sheetData>
    <row r="1" spans="1:12" ht="44" thickBot="1" x14ac:dyDescent="0.55000000000000004">
      <c r="A1" s="785" t="s">
        <v>101</v>
      </c>
      <c r="B1" s="785"/>
      <c r="C1" s="785"/>
      <c r="D1" s="786"/>
      <c r="E1" s="71" t="s">
        <v>35</v>
      </c>
      <c r="F1" s="343" t="s">
        <v>367</v>
      </c>
      <c r="G1" s="343" t="s">
        <v>400</v>
      </c>
      <c r="H1" s="343" t="s">
        <v>368</v>
      </c>
      <c r="I1" s="343" t="s">
        <v>369</v>
      </c>
      <c r="J1" s="343" t="s">
        <v>370</v>
      </c>
      <c r="K1" s="343" t="s">
        <v>371</v>
      </c>
      <c r="L1" s="343" t="s">
        <v>460</v>
      </c>
    </row>
    <row r="2" spans="1:12" ht="15" thickBot="1" x14ac:dyDescent="0.4">
      <c r="A2" s="41" t="s">
        <v>0</v>
      </c>
      <c r="B2" s="76" t="s">
        <v>77</v>
      </c>
      <c r="C2" s="76" t="s">
        <v>76</v>
      </c>
      <c r="D2" s="76" t="s">
        <v>23</v>
      </c>
      <c r="E2" s="17"/>
      <c r="F2" s="17"/>
      <c r="G2" s="17"/>
      <c r="H2" s="17"/>
      <c r="I2" s="17"/>
      <c r="J2" s="17"/>
      <c r="K2" s="17"/>
      <c r="L2" s="17"/>
    </row>
    <row r="3" spans="1:12" ht="15" thickBot="1" x14ac:dyDescent="0.4">
      <c r="A3" s="790" t="s">
        <v>121</v>
      </c>
      <c r="B3" s="791"/>
      <c r="C3" s="791"/>
      <c r="D3" s="81"/>
      <c r="E3" s="78">
        <f t="shared" ref="E3:L3" si="0">E4+E25</f>
        <v>1675848.9999999995</v>
      </c>
      <c r="F3" s="79">
        <f t="shared" si="0"/>
        <v>248101.9</v>
      </c>
      <c r="G3" s="79">
        <f t="shared" si="0"/>
        <v>236675.79999999996</v>
      </c>
      <c r="H3" s="298">
        <f t="shared" si="0"/>
        <v>247694.5</v>
      </c>
      <c r="I3" s="298">
        <f t="shared" si="0"/>
        <v>225096.39999999997</v>
      </c>
      <c r="J3" s="298">
        <f t="shared" ref="J3:K3" si="1">J4+J25</f>
        <v>216257.49999999997</v>
      </c>
      <c r="K3" s="298">
        <f t="shared" si="1"/>
        <v>229913.8</v>
      </c>
      <c r="L3" s="80">
        <f t="shared" si="0"/>
        <v>272109.09999999998</v>
      </c>
    </row>
    <row r="4" spans="1:12" ht="15" outlineLevel="1" thickBot="1" x14ac:dyDescent="0.4">
      <c r="A4" s="17" t="s">
        <v>108</v>
      </c>
      <c r="B4" s="17"/>
      <c r="C4" s="17"/>
      <c r="D4" s="28"/>
      <c r="E4" s="78">
        <f>SUM(E5:E24)</f>
        <v>566301.39999999979</v>
      </c>
      <c r="F4" s="79">
        <f t="shared" ref="F4:L4" si="2">SUM(F5:F24)</f>
        <v>80900.199999999983</v>
      </c>
      <c r="G4" s="79">
        <f t="shared" si="2"/>
        <v>80900.199999999983</v>
      </c>
      <c r="H4" s="298">
        <f t="shared" si="2"/>
        <v>80900.199999999983</v>
      </c>
      <c r="I4" s="298">
        <f t="shared" si="2"/>
        <v>80900.199999999983</v>
      </c>
      <c r="J4" s="298">
        <f t="shared" ref="J4:K4" si="3">SUM(J5:J24)</f>
        <v>80900.199999999983</v>
      </c>
      <c r="K4" s="298">
        <f t="shared" si="3"/>
        <v>80900.199999999983</v>
      </c>
      <c r="L4" s="80">
        <f t="shared" si="2"/>
        <v>80900.199999999983</v>
      </c>
    </row>
    <row r="5" spans="1:12" outlineLevel="2" x14ac:dyDescent="0.35">
      <c r="A5" s="783" t="s">
        <v>74</v>
      </c>
      <c r="B5" s="784" t="s">
        <v>75</v>
      </c>
      <c r="C5" s="784">
        <v>711003</v>
      </c>
      <c r="D5" s="68" t="s">
        <v>25</v>
      </c>
      <c r="E5" s="65">
        <f t="shared" ref="E5:E24" si="4">SUM(F5:L5)</f>
        <v>566301.39999999979</v>
      </c>
      <c r="F5" s="129">
        <f>SUM('Rozpočet - HW a licencie'!$E$3:$E$19)/7</f>
        <v>80900.199999999983</v>
      </c>
      <c r="G5" s="129">
        <f>SUM('Rozpočet - HW a licencie'!$E$3:$E$19)/7</f>
        <v>80900.199999999983</v>
      </c>
      <c r="H5" s="129">
        <f>SUM('Rozpočet - HW a licencie'!$E$3:$E$19)/7</f>
        <v>80900.199999999983</v>
      </c>
      <c r="I5" s="129">
        <f>SUM('Rozpočet - HW a licencie'!$E$3:$E$19)/7</f>
        <v>80900.199999999983</v>
      </c>
      <c r="J5" s="129">
        <f>SUM('Rozpočet - HW a licencie'!$E$3:$E$19)/7</f>
        <v>80900.199999999983</v>
      </c>
      <c r="K5" s="129">
        <f>SUM('Rozpočet - HW a licencie'!$E$3:$E$19)/7</f>
        <v>80900.199999999983</v>
      </c>
      <c r="L5" s="129">
        <f>SUM('Rozpočet - HW a licencie'!$E$3:$E$19)/7</f>
        <v>80900.199999999983</v>
      </c>
    </row>
    <row r="6" spans="1:12" outlineLevel="2" x14ac:dyDescent="0.35">
      <c r="A6" s="783"/>
      <c r="B6" s="784"/>
      <c r="C6" s="784"/>
      <c r="D6" s="69" t="s">
        <v>26</v>
      </c>
      <c r="E6" s="66">
        <f t="shared" si="4"/>
        <v>0</v>
      </c>
      <c r="F6" s="131">
        <v>0</v>
      </c>
      <c r="G6" s="132">
        <v>0</v>
      </c>
      <c r="H6" s="300">
        <v>0</v>
      </c>
      <c r="I6" s="300">
        <v>0</v>
      </c>
      <c r="J6" s="300">
        <v>0</v>
      </c>
      <c r="K6" s="300">
        <v>0</v>
      </c>
      <c r="L6" s="136">
        <v>0</v>
      </c>
    </row>
    <row r="7" spans="1:12" outlineLevel="2" x14ac:dyDescent="0.35">
      <c r="A7" s="783"/>
      <c r="B7" s="784"/>
      <c r="C7" s="784"/>
      <c r="D7" s="69" t="s">
        <v>27</v>
      </c>
      <c r="E7" s="66">
        <f t="shared" si="4"/>
        <v>0</v>
      </c>
      <c r="F7" s="131">
        <v>0</v>
      </c>
      <c r="G7" s="132">
        <v>0</v>
      </c>
      <c r="H7" s="300">
        <v>0</v>
      </c>
      <c r="I7" s="300">
        <v>0</v>
      </c>
      <c r="J7" s="300">
        <v>0</v>
      </c>
      <c r="K7" s="300">
        <v>0</v>
      </c>
      <c r="L7" s="136">
        <v>0</v>
      </c>
    </row>
    <row r="8" spans="1:12" outlineLevel="2" x14ac:dyDescent="0.35">
      <c r="A8" s="783"/>
      <c r="B8" s="784"/>
      <c r="C8" s="784"/>
      <c r="D8" s="69" t="s">
        <v>28</v>
      </c>
      <c r="E8" s="66">
        <f t="shared" si="4"/>
        <v>0</v>
      </c>
      <c r="F8" s="131">
        <v>0</v>
      </c>
      <c r="G8" s="132">
        <v>0</v>
      </c>
      <c r="H8" s="300">
        <v>0</v>
      </c>
      <c r="I8" s="300">
        <v>0</v>
      </c>
      <c r="J8" s="300">
        <v>0</v>
      </c>
      <c r="K8" s="300">
        <v>0</v>
      </c>
      <c r="L8" s="136">
        <v>0</v>
      </c>
    </row>
    <row r="9" spans="1:12" outlineLevel="2" x14ac:dyDescent="0.35">
      <c r="A9" s="783"/>
      <c r="B9" s="784"/>
      <c r="C9" s="784"/>
      <c r="D9" s="69" t="s">
        <v>29</v>
      </c>
      <c r="E9" s="66">
        <f t="shared" si="4"/>
        <v>0</v>
      </c>
      <c r="F9" s="131">
        <v>0</v>
      </c>
      <c r="G9" s="132">
        <v>0</v>
      </c>
      <c r="H9" s="300">
        <v>0</v>
      </c>
      <c r="I9" s="300">
        <v>0</v>
      </c>
      <c r="J9" s="300">
        <v>0</v>
      </c>
      <c r="K9" s="300">
        <v>0</v>
      </c>
      <c r="L9" s="136">
        <v>0</v>
      </c>
    </row>
    <row r="10" spans="1:12" outlineLevel="2" x14ac:dyDescent="0.35">
      <c r="A10" s="783"/>
      <c r="B10" s="784"/>
      <c r="C10" s="784"/>
      <c r="D10" s="69" t="s">
        <v>30</v>
      </c>
      <c r="E10" s="66">
        <f t="shared" si="4"/>
        <v>0</v>
      </c>
      <c r="F10" s="131">
        <v>0</v>
      </c>
      <c r="G10" s="132">
        <v>0</v>
      </c>
      <c r="H10" s="300">
        <v>0</v>
      </c>
      <c r="I10" s="300">
        <v>0</v>
      </c>
      <c r="J10" s="300">
        <v>0</v>
      </c>
      <c r="K10" s="300">
        <v>0</v>
      </c>
      <c r="L10" s="136">
        <v>0</v>
      </c>
    </row>
    <row r="11" spans="1:12" outlineLevel="2" x14ac:dyDescent="0.35">
      <c r="A11" s="783"/>
      <c r="B11" s="784"/>
      <c r="C11" s="784"/>
      <c r="D11" s="69" t="s">
        <v>31</v>
      </c>
      <c r="E11" s="66">
        <f t="shared" si="4"/>
        <v>0</v>
      </c>
      <c r="F11" s="131">
        <v>0</v>
      </c>
      <c r="G11" s="132">
        <v>0</v>
      </c>
      <c r="H11" s="300">
        <v>0</v>
      </c>
      <c r="I11" s="300">
        <v>0</v>
      </c>
      <c r="J11" s="300">
        <v>0</v>
      </c>
      <c r="K11" s="300">
        <v>0</v>
      </c>
      <c r="L11" s="136">
        <v>0</v>
      </c>
    </row>
    <row r="12" spans="1:12" outlineLevel="2" x14ac:dyDescent="0.35">
      <c r="A12" s="783"/>
      <c r="B12" s="784"/>
      <c r="C12" s="784"/>
      <c r="D12" s="69" t="s">
        <v>32</v>
      </c>
      <c r="E12" s="66">
        <f t="shared" si="4"/>
        <v>0</v>
      </c>
      <c r="F12" s="131">
        <v>0</v>
      </c>
      <c r="G12" s="132">
        <v>0</v>
      </c>
      <c r="H12" s="300">
        <v>0</v>
      </c>
      <c r="I12" s="300">
        <v>0</v>
      </c>
      <c r="J12" s="300">
        <v>0</v>
      </c>
      <c r="K12" s="300">
        <v>0</v>
      </c>
      <c r="L12" s="136">
        <v>0</v>
      </c>
    </row>
    <row r="13" spans="1:12" outlineLevel="2" x14ac:dyDescent="0.35">
      <c r="A13" s="783"/>
      <c r="B13" s="784"/>
      <c r="C13" s="784"/>
      <c r="D13" s="69" t="s">
        <v>33</v>
      </c>
      <c r="E13" s="66">
        <f t="shared" si="4"/>
        <v>0</v>
      </c>
      <c r="F13" s="131">
        <v>0</v>
      </c>
      <c r="G13" s="132">
        <v>0</v>
      </c>
      <c r="H13" s="300">
        <v>0</v>
      </c>
      <c r="I13" s="300">
        <v>0</v>
      </c>
      <c r="J13" s="300">
        <v>0</v>
      </c>
      <c r="K13" s="300">
        <v>0</v>
      </c>
      <c r="L13" s="136">
        <v>0</v>
      </c>
    </row>
    <row r="14" spans="1:12" ht="15" outlineLevel="2" thickBot="1" x14ac:dyDescent="0.4">
      <c r="A14" s="783"/>
      <c r="B14" s="784"/>
      <c r="C14" s="784"/>
      <c r="D14" s="70" t="s">
        <v>34</v>
      </c>
      <c r="E14" s="66">
        <f t="shared" si="4"/>
        <v>0</v>
      </c>
      <c r="F14" s="133">
        <v>0</v>
      </c>
      <c r="G14" s="134">
        <v>0</v>
      </c>
      <c r="H14" s="301">
        <v>0</v>
      </c>
      <c r="I14" s="301">
        <v>0</v>
      </c>
      <c r="J14" s="301">
        <v>0</v>
      </c>
      <c r="K14" s="301">
        <v>0</v>
      </c>
      <c r="L14" s="137">
        <v>0</v>
      </c>
    </row>
    <row r="15" spans="1:12" outlineLevel="2" x14ac:dyDescent="0.35">
      <c r="A15" s="783" t="s">
        <v>74</v>
      </c>
      <c r="B15" s="784" t="s">
        <v>80</v>
      </c>
      <c r="C15" s="784">
        <v>633013</v>
      </c>
      <c r="D15" s="68" t="s">
        <v>25</v>
      </c>
      <c r="E15" s="65">
        <f t="shared" si="4"/>
        <v>0</v>
      </c>
      <c r="F15" s="129">
        <v>0</v>
      </c>
      <c r="G15" s="130">
        <v>0</v>
      </c>
      <c r="H15" s="299">
        <v>0</v>
      </c>
      <c r="I15" s="299">
        <v>0</v>
      </c>
      <c r="J15" s="299">
        <v>0</v>
      </c>
      <c r="K15" s="299">
        <v>0</v>
      </c>
      <c r="L15" s="135">
        <v>0</v>
      </c>
    </row>
    <row r="16" spans="1:12" outlineLevel="2" x14ac:dyDescent="0.35">
      <c r="A16" s="783"/>
      <c r="B16" s="784"/>
      <c r="C16" s="784"/>
      <c r="D16" s="69" t="s">
        <v>26</v>
      </c>
      <c r="E16" s="66">
        <f t="shared" si="4"/>
        <v>0</v>
      </c>
      <c r="F16" s="131">
        <v>0</v>
      </c>
      <c r="G16" s="132">
        <v>0</v>
      </c>
      <c r="H16" s="300">
        <v>0</v>
      </c>
      <c r="I16" s="300">
        <v>0</v>
      </c>
      <c r="J16" s="300">
        <v>0</v>
      </c>
      <c r="K16" s="300">
        <v>0</v>
      </c>
      <c r="L16" s="136">
        <v>0</v>
      </c>
    </row>
    <row r="17" spans="1:12" outlineLevel="2" x14ac:dyDescent="0.35">
      <c r="A17" s="783"/>
      <c r="B17" s="784"/>
      <c r="C17" s="784"/>
      <c r="D17" s="69" t="s">
        <v>27</v>
      </c>
      <c r="E17" s="66">
        <f t="shared" si="4"/>
        <v>0</v>
      </c>
      <c r="F17" s="131">
        <v>0</v>
      </c>
      <c r="G17" s="132">
        <v>0</v>
      </c>
      <c r="H17" s="300">
        <v>0</v>
      </c>
      <c r="I17" s="300">
        <v>0</v>
      </c>
      <c r="J17" s="300">
        <v>0</v>
      </c>
      <c r="K17" s="300">
        <v>0</v>
      </c>
      <c r="L17" s="136">
        <v>0</v>
      </c>
    </row>
    <row r="18" spans="1:12" outlineLevel="2" x14ac:dyDescent="0.35">
      <c r="A18" s="783"/>
      <c r="B18" s="784"/>
      <c r="C18" s="784"/>
      <c r="D18" s="69" t="s">
        <v>28</v>
      </c>
      <c r="E18" s="66">
        <f t="shared" si="4"/>
        <v>0</v>
      </c>
      <c r="F18" s="131">
        <v>0</v>
      </c>
      <c r="G18" s="132">
        <v>0</v>
      </c>
      <c r="H18" s="300">
        <v>0</v>
      </c>
      <c r="I18" s="300">
        <v>0</v>
      </c>
      <c r="J18" s="300">
        <v>0</v>
      </c>
      <c r="K18" s="300">
        <v>0</v>
      </c>
      <c r="L18" s="136">
        <v>0</v>
      </c>
    </row>
    <row r="19" spans="1:12" outlineLevel="2" x14ac:dyDescent="0.35">
      <c r="A19" s="783"/>
      <c r="B19" s="784"/>
      <c r="C19" s="784"/>
      <c r="D19" s="69" t="s">
        <v>29</v>
      </c>
      <c r="E19" s="66">
        <f t="shared" si="4"/>
        <v>0</v>
      </c>
      <c r="F19" s="131">
        <v>0</v>
      </c>
      <c r="G19" s="132">
        <v>0</v>
      </c>
      <c r="H19" s="300">
        <v>0</v>
      </c>
      <c r="I19" s="300">
        <v>0</v>
      </c>
      <c r="J19" s="300">
        <v>0</v>
      </c>
      <c r="K19" s="300">
        <v>0</v>
      </c>
      <c r="L19" s="136">
        <v>0</v>
      </c>
    </row>
    <row r="20" spans="1:12" outlineLevel="2" x14ac:dyDescent="0.35">
      <c r="A20" s="783"/>
      <c r="B20" s="784"/>
      <c r="C20" s="784"/>
      <c r="D20" s="69" t="s">
        <v>30</v>
      </c>
      <c r="E20" s="66">
        <f t="shared" si="4"/>
        <v>0</v>
      </c>
      <c r="F20" s="131">
        <v>0</v>
      </c>
      <c r="G20" s="132">
        <v>0</v>
      </c>
      <c r="H20" s="300">
        <v>0</v>
      </c>
      <c r="I20" s="300">
        <v>0</v>
      </c>
      <c r="J20" s="300">
        <v>0</v>
      </c>
      <c r="K20" s="300">
        <v>0</v>
      </c>
      <c r="L20" s="136">
        <v>0</v>
      </c>
    </row>
    <row r="21" spans="1:12" outlineLevel="2" x14ac:dyDescent="0.35">
      <c r="A21" s="783"/>
      <c r="B21" s="784"/>
      <c r="C21" s="784"/>
      <c r="D21" s="69" t="s">
        <v>31</v>
      </c>
      <c r="E21" s="66">
        <f t="shared" si="4"/>
        <v>0</v>
      </c>
      <c r="F21" s="131">
        <v>0</v>
      </c>
      <c r="G21" s="132">
        <v>0</v>
      </c>
      <c r="H21" s="300">
        <v>0</v>
      </c>
      <c r="I21" s="300">
        <v>0</v>
      </c>
      <c r="J21" s="300">
        <v>0</v>
      </c>
      <c r="K21" s="300">
        <v>0</v>
      </c>
      <c r="L21" s="136">
        <v>0</v>
      </c>
    </row>
    <row r="22" spans="1:12" outlineLevel="2" x14ac:dyDescent="0.35">
      <c r="A22" s="783"/>
      <c r="B22" s="784"/>
      <c r="C22" s="784"/>
      <c r="D22" s="69" t="s">
        <v>32</v>
      </c>
      <c r="E22" s="66">
        <f t="shared" si="4"/>
        <v>0</v>
      </c>
      <c r="F22" s="131">
        <v>0</v>
      </c>
      <c r="G22" s="132">
        <v>0</v>
      </c>
      <c r="H22" s="300">
        <v>0</v>
      </c>
      <c r="I22" s="300">
        <v>0</v>
      </c>
      <c r="J22" s="300">
        <v>0</v>
      </c>
      <c r="K22" s="300">
        <v>0</v>
      </c>
      <c r="L22" s="136">
        <v>0</v>
      </c>
    </row>
    <row r="23" spans="1:12" outlineLevel="2" x14ac:dyDescent="0.35">
      <c r="A23" s="783"/>
      <c r="B23" s="784"/>
      <c r="C23" s="784"/>
      <c r="D23" s="69" t="s">
        <v>33</v>
      </c>
      <c r="E23" s="66">
        <f t="shared" si="4"/>
        <v>0</v>
      </c>
      <c r="F23" s="131">
        <v>0</v>
      </c>
      <c r="G23" s="132">
        <v>0</v>
      </c>
      <c r="H23" s="300">
        <v>0</v>
      </c>
      <c r="I23" s="300">
        <v>0</v>
      </c>
      <c r="J23" s="300">
        <v>0</v>
      </c>
      <c r="K23" s="300">
        <v>0</v>
      </c>
      <c r="L23" s="136">
        <v>0</v>
      </c>
    </row>
    <row r="24" spans="1:12" ht="15" outlineLevel="2" thickBot="1" x14ac:dyDescent="0.4">
      <c r="A24" s="783"/>
      <c r="B24" s="784"/>
      <c r="C24" s="784"/>
      <c r="D24" s="70" t="s">
        <v>34</v>
      </c>
      <c r="E24" s="67">
        <f t="shared" si="4"/>
        <v>0</v>
      </c>
      <c r="F24" s="133">
        <v>0</v>
      </c>
      <c r="G24" s="134">
        <v>0</v>
      </c>
      <c r="H24" s="301">
        <v>0</v>
      </c>
      <c r="I24" s="301">
        <v>0</v>
      </c>
      <c r="J24" s="301">
        <v>0</v>
      </c>
      <c r="K24" s="301">
        <v>0</v>
      </c>
      <c r="L24" s="137">
        <v>0</v>
      </c>
    </row>
    <row r="25" spans="1:12" ht="15" outlineLevel="1" thickBot="1" x14ac:dyDescent="0.4">
      <c r="A25" s="17" t="s">
        <v>109</v>
      </c>
      <c r="B25" s="17"/>
      <c r="C25" s="17"/>
      <c r="D25" s="28"/>
      <c r="E25" s="143">
        <f t="shared" ref="E25:L25" si="5">SUM(E26:E55)</f>
        <v>1109547.5999999999</v>
      </c>
      <c r="F25" s="144">
        <f t="shared" si="5"/>
        <v>167201.70000000001</v>
      </c>
      <c r="G25" s="144">
        <f t="shared" si="5"/>
        <v>155775.59999999998</v>
      </c>
      <c r="H25" s="302">
        <f t="shared" si="5"/>
        <v>166794.30000000002</v>
      </c>
      <c r="I25" s="302">
        <f t="shared" si="5"/>
        <v>144196.19999999998</v>
      </c>
      <c r="J25" s="302">
        <f t="shared" ref="J25:K25" si="6">SUM(J26:J55)</f>
        <v>135357.29999999999</v>
      </c>
      <c r="K25" s="302">
        <f t="shared" si="6"/>
        <v>149013.6</v>
      </c>
      <c r="L25" s="145">
        <f t="shared" si="5"/>
        <v>191208.9</v>
      </c>
    </row>
    <row r="26" spans="1:12" outlineLevel="2" x14ac:dyDescent="0.35">
      <c r="A26" s="783" t="s">
        <v>78</v>
      </c>
      <c r="B26" s="784" t="s">
        <v>75</v>
      </c>
      <c r="C26" s="784">
        <v>711003</v>
      </c>
      <c r="D26" s="68" t="s">
        <v>25</v>
      </c>
      <c r="E26" s="72">
        <f t="shared" ref="E26:E55" si="7">SUM(F26:L26)</f>
        <v>1064817.5999999999</v>
      </c>
      <c r="F26" s="120">
        <f>'Rozpočet - vývoj Aplikácií'!BS10</f>
        <v>160811.70000000001</v>
      </c>
      <c r="G26" s="121">
        <f>'Rozpočet - vývoj Aplikácií'!BS17</f>
        <v>149385.59999999998</v>
      </c>
      <c r="H26" s="303">
        <f>'Rozpočet - vývoj Aplikácií'!BS25</f>
        <v>160404.30000000002</v>
      </c>
      <c r="I26" s="303">
        <f>'Rozpočet - vývoj Aplikácií'!BS33</f>
        <v>137806.19999999998</v>
      </c>
      <c r="J26" s="303">
        <f>'Rozpočet - vývoj Aplikácií'!BS40</f>
        <v>128967.29999999999</v>
      </c>
      <c r="K26" s="303">
        <f>'Rozpočet - vývoj Aplikácií'!BS47</f>
        <v>142623.6</v>
      </c>
      <c r="L26" s="122">
        <f>'Rozpočet - vývoj Aplikácií'!BS56</f>
        <v>184818.9</v>
      </c>
    </row>
    <row r="27" spans="1:12" outlineLevel="2" x14ac:dyDescent="0.35">
      <c r="A27" s="783"/>
      <c r="B27" s="784"/>
      <c r="C27" s="784"/>
      <c r="D27" s="69" t="s">
        <v>26</v>
      </c>
      <c r="E27" s="73">
        <f t="shared" si="7"/>
        <v>0</v>
      </c>
      <c r="F27" s="123">
        <v>0</v>
      </c>
      <c r="G27" s="124">
        <v>0</v>
      </c>
      <c r="H27" s="304">
        <v>0</v>
      </c>
      <c r="I27" s="304">
        <v>0</v>
      </c>
      <c r="J27" s="304">
        <v>0</v>
      </c>
      <c r="K27" s="304">
        <v>0</v>
      </c>
      <c r="L27" s="125">
        <v>0</v>
      </c>
    </row>
    <row r="28" spans="1:12" outlineLevel="2" x14ac:dyDescent="0.35">
      <c r="A28" s="783"/>
      <c r="B28" s="784"/>
      <c r="C28" s="784"/>
      <c r="D28" s="69" t="s">
        <v>27</v>
      </c>
      <c r="E28" s="73">
        <f t="shared" si="7"/>
        <v>0</v>
      </c>
      <c r="F28" s="123">
        <v>0</v>
      </c>
      <c r="G28" s="124">
        <v>0</v>
      </c>
      <c r="H28" s="304">
        <v>0</v>
      </c>
      <c r="I28" s="304">
        <v>0</v>
      </c>
      <c r="J28" s="304">
        <v>0</v>
      </c>
      <c r="K28" s="304">
        <v>0</v>
      </c>
      <c r="L28" s="125">
        <v>0</v>
      </c>
    </row>
    <row r="29" spans="1:12" outlineLevel="2" x14ac:dyDescent="0.35">
      <c r="A29" s="783"/>
      <c r="B29" s="784"/>
      <c r="C29" s="784"/>
      <c r="D29" s="69" t="s">
        <v>28</v>
      </c>
      <c r="E29" s="73">
        <f t="shared" si="7"/>
        <v>0</v>
      </c>
      <c r="F29" s="123">
        <v>0</v>
      </c>
      <c r="G29" s="124">
        <v>0</v>
      </c>
      <c r="H29" s="304">
        <v>0</v>
      </c>
      <c r="I29" s="304">
        <v>0</v>
      </c>
      <c r="J29" s="304">
        <v>0</v>
      </c>
      <c r="K29" s="304">
        <v>0</v>
      </c>
      <c r="L29" s="125">
        <v>0</v>
      </c>
    </row>
    <row r="30" spans="1:12" outlineLevel="2" x14ac:dyDescent="0.35">
      <c r="A30" s="783"/>
      <c r="B30" s="784"/>
      <c r="C30" s="784"/>
      <c r="D30" s="69" t="s">
        <v>29</v>
      </c>
      <c r="E30" s="73">
        <f t="shared" si="7"/>
        <v>0</v>
      </c>
      <c r="F30" s="123">
        <v>0</v>
      </c>
      <c r="G30" s="124">
        <v>0</v>
      </c>
      <c r="H30" s="304">
        <v>0</v>
      </c>
      <c r="I30" s="304">
        <v>0</v>
      </c>
      <c r="J30" s="304">
        <v>0</v>
      </c>
      <c r="K30" s="304">
        <v>0</v>
      </c>
      <c r="L30" s="125">
        <v>0</v>
      </c>
    </row>
    <row r="31" spans="1:12" outlineLevel="2" x14ac:dyDescent="0.35">
      <c r="A31" s="783"/>
      <c r="B31" s="784"/>
      <c r="C31" s="784"/>
      <c r="D31" s="69" t="s">
        <v>30</v>
      </c>
      <c r="E31" s="73">
        <f t="shared" si="7"/>
        <v>0</v>
      </c>
      <c r="F31" s="123">
        <v>0</v>
      </c>
      <c r="G31" s="124">
        <v>0</v>
      </c>
      <c r="H31" s="304">
        <v>0</v>
      </c>
      <c r="I31" s="304">
        <v>0</v>
      </c>
      <c r="J31" s="304">
        <v>0</v>
      </c>
      <c r="K31" s="304">
        <v>0</v>
      </c>
      <c r="L31" s="125">
        <v>0</v>
      </c>
    </row>
    <row r="32" spans="1:12" outlineLevel="2" x14ac:dyDescent="0.35">
      <c r="A32" s="783"/>
      <c r="B32" s="784"/>
      <c r="C32" s="784"/>
      <c r="D32" s="69" t="s">
        <v>31</v>
      </c>
      <c r="E32" s="73">
        <f t="shared" si="7"/>
        <v>0</v>
      </c>
      <c r="F32" s="123">
        <v>0</v>
      </c>
      <c r="G32" s="124">
        <v>0</v>
      </c>
      <c r="H32" s="304">
        <v>0</v>
      </c>
      <c r="I32" s="304">
        <v>0</v>
      </c>
      <c r="J32" s="304">
        <v>0</v>
      </c>
      <c r="K32" s="304">
        <v>0</v>
      </c>
      <c r="L32" s="125">
        <v>0</v>
      </c>
    </row>
    <row r="33" spans="1:12" outlineLevel="2" x14ac:dyDescent="0.35">
      <c r="A33" s="783"/>
      <c r="B33" s="784"/>
      <c r="C33" s="784"/>
      <c r="D33" s="69" t="s">
        <v>32</v>
      </c>
      <c r="E33" s="73">
        <f t="shared" si="7"/>
        <v>0</v>
      </c>
      <c r="F33" s="123">
        <v>0</v>
      </c>
      <c r="G33" s="124">
        <v>0</v>
      </c>
      <c r="H33" s="304">
        <v>0</v>
      </c>
      <c r="I33" s="304">
        <v>0</v>
      </c>
      <c r="J33" s="304">
        <v>0</v>
      </c>
      <c r="K33" s="304">
        <v>0</v>
      </c>
      <c r="L33" s="125">
        <v>0</v>
      </c>
    </row>
    <row r="34" spans="1:12" outlineLevel="2" x14ac:dyDescent="0.35">
      <c r="A34" s="783"/>
      <c r="B34" s="784"/>
      <c r="C34" s="784"/>
      <c r="D34" s="69" t="s">
        <v>33</v>
      </c>
      <c r="E34" s="73">
        <f t="shared" si="7"/>
        <v>0</v>
      </c>
      <c r="F34" s="123">
        <v>0</v>
      </c>
      <c r="G34" s="124">
        <v>0</v>
      </c>
      <c r="H34" s="304">
        <v>0</v>
      </c>
      <c r="I34" s="304">
        <v>0</v>
      </c>
      <c r="J34" s="304">
        <v>0</v>
      </c>
      <c r="K34" s="304">
        <v>0</v>
      </c>
      <c r="L34" s="125">
        <v>0</v>
      </c>
    </row>
    <row r="35" spans="1:12" ht="15" outlineLevel="2" thickBot="1" x14ac:dyDescent="0.4">
      <c r="A35" s="783"/>
      <c r="B35" s="784"/>
      <c r="C35" s="784"/>
      <c r="D35" s="70" t="s">
        <v>34</v>
      </c>
      <c r="E35" s="74">
        <f t="shared" si="7"/>
        <v>0</v>
      </c>
      <c r="F35" s="126">
        <v>0</v>
      </c>
      <c r="G35" s="127">
        <v>0</v>
      </c>
      <c r="H35" s="305">
        <v>0</v>
      </c>
      <c r="I35" s="305">
        <v>0</v>
      </c>
      <c r="J35" s="305">
        <v>0</v>
      </c>
      <c r="K35" s="305">
        <v>0</v>
      </c>
      <c r="L35" s="128">
        <v>0</v>
      </c>
    </row>
    <row r="36" spans="1:12" outlineLevel="2" x14ac:dyDescent="0.35">
      <c r="A36" s="783" t="s">
        <v>78</v>
      </c>
      <c r="B36" s="784" t="s">
        <v>80</v>
      </c>
      <c r="C36" s="784">
        <v>633013</v>
      </c>
      <c r="D36" s="68" t="s">
        <v>25</v>
      </c>
      <c r="E36" s="73">
        <f t="shared" si="7"/>
        <v>0</v>
      </c>
      <c r="F36" s="120">
        <v>0</v>
      </c>
      <c r="G36" s="121">
        <v>0</v>
      </c>
      <c r="H36" s="303">
        <v>0</v>
      </c>
      <c r="I36" s="303">
        <v>0</v>
      </c>
      <c r="J36" s="303">
        <v>0</v>
      </c>
      <c r="K36" s="303">
        <v>0</v>
      </c>
      <c r="L36" s="122">
        <v>0</v>
      </c>
    </row>
    <row r="37" spans="1:12" outlineLevel="2" x14ac:dyDescent="0.35">
      <c r="A37" s="783"/>
      <c r="B37" s="784"/>
      <c r="C37" s="784"/>
      <c r="D37" s="69" t="s">
        <v>26</v>
      </c>
      <c r="E37" s="73">
        <f t="shared" si="7"/>
        <v>0</v>
      </c>
      <c r="F37" s="123">
        <v>0</v>
      </c>
      <c r="G37" s="124">
        <v>0</v>
      </c>
      <c r="H37" s="304">
        <v>0</v>
      </c>
      <c r="I37" s="304">
        <v>0</v>
      </c>
      <c r="J37" s="304">
        <v>0</v>
      </c>
      <c r="K37" s="304">
        <v>0</v>
      </c>
      <c r="L37" s="125">
        <v>0</v>
      </c>
    </row>
    <row r="38" spans="1:12" outlineLevel="2" x14ac:dyDescent="0.35">
      <c r="A38" s="783"/>
      <c r="B38" s="784"/>
      <c r="C38" s="784"/>
      <c r="D38" s="69" t="s">
        <v>27</v>
      </c>
      <c r="E38" s="73">
        <f t="shared" si="7"/>
        <v>0</v>
      </c>
      <c r="F38" s="123">
        <v>0</v>
      </c>
      <c r="G38" s="124">
        <v>0</v>
      </c>
      <c r="H38" s="304">
        <v>0</v>
      </c>
      <c r="I38" s="304">
        <v>0</v>
      </c>
      <c r="J38" s="304">
        <v>0</v>
      </c>
      <c r="K38" s="304">
        <v>0</v>
      </c>
      <c r="L38" s="125">
        <v>0</v>
      </c>
    </row>
    <row r="39" spans="1:12" outlineLevel="2" x14ac:dyDescent="0.35">
      <c r="A39" s="783"/>
      <c r="B39" s="784"/>
      <c r="C39" s="784"/>
      <c r="D39" s="69" t="s">
        <v>28</v>
      </c>
      <c r="E39" s="73">
        <f t="shared" si="7"/>
        <v>0</v>
      </c>
      <c r="F39" s="123">
        <v>0</v>
      </c>
      <c r="G39" s="124">
        <v>0</v>
      </c>
      <c r="H39" s="304">
        <v>0</v>
      </c>
      <c r="I39" s="304">
        <v>0</v>
      </c>
      <c r="J39" s="304">
        <v>0</v>
      </c>
      <c r="K39" s="304">
        <v>0</v>
      </c>
      <c r="L39" s="125">
        <v>0</v>
      </c>
    </row>
    <row r="40" spans="1:12" outlineLevel="2" x14ac:dyDescent="0.35">
      <c r="A40" s="783"/>
      <c r="B40" s="784"/>
      <c r="C40" s="784"/>
      <c r="D40" s="69" t="s">
        <v>29</v>
      </c>
      <c r="E40" s="73">
        <f t="shared" si="7"/>
        <v>0</v>
      </c>
      <c r="F40" s="123">
        <v>0</v>
      </c>
      <c r="G40" s="124">
        <v>0</v>
      </c>
      <c r="H40" s="304">
        <v>0</v>
      </c>
      <c r="I40" s="304">
        <v>0</v>
      </c>
      <c r="J40" s="304">
        <v>0</v>
      </c>
      <c r="K40" s="304">
        <v>0</v>
      </c>
      <c r="L40" s="125">
        <v>0</v>
      </c>
    </row>
    <row r="41" spans="1:12" outlineLevel="2" x14ac:dyDescent="0.35">
      <c r="A41" s="783"/>
      <c r="B41" s="784"/>
      <c r="C41" s="784"/>
      <c r="D41" s="69" t="s">
        <v>30</v>
      </c>
      <c r="E41" s="73">
        <f t="shared" si="7"/>
        <v>0</v>
      </c>
      <c r="F41" s="123">
        <v>0</v>
      </c>
      <c r="G41" s="124">
        <v>0</v>
      </c>
      <c r="H41" s="304">
        <v>0</v>
      </c>
      <c r="I41" s="304">
        <v>0</v>
      </c>
      <c r="J41" s="304">
        <v>0</v>
      </c>
      <c r="K41" s="304">
        <v>0</v>
      </c>
      <c r="L41" s="125">
        <v>0</v>
      </c>
    </row>
    <row r="42" spans="1:12" outlineLevel="2" x14ac:dyDescent="0.35">
      <c r="A42" s="783"/>
      <c r="B42" s="784"/>
      <c r="C42" s="784"/>
      <c r="D42" s="69" t="s">
        <v>31</v>
      </c>
      <c r="E42" s="73">
        <f t="shared" si="7"/>
        <v>0</v>
      </c>
      <c r="F42" s="123">
        <v>0</v>
      </c>
      <c r="G42" s="124">
        <v>0</v>
      </c>
      <c r="H42" s="304">
        <v>0</v>
      </c>
      <c r="I42" s="304">
        <v>0</v>
      </c>
      <c r="J42" s="304">
        <v>0</v>
      </c>
      <c r="K42" s="304">
        <v>0</v>
      </c>
      <c r="L42" s="125">
        <v>0</v>
      </c>
    </row>
    <row r="43" spans="1:12" outlineLevel="2" x14ac:dyDescent="0.35">
      <c r="A43" s="783"/>
      <c r="B43" s="784"/>
      <c r="C43" s="784"/>
      <c r="D43" s="69" t="s">
        <v>32</v>
      </c>
      <c r="E43" s="73">
        <f t="shared" si="7"/>
        <v>0</v>
      </c>
      <c r="F43" s="123">
        <v>0</v>
      </c>
      <c r="G43" s="124">
        <v>0</v>
      </c>
      <c r="H43" s="304">
        <v>0</v>
      </c>
      <c r="I43" s="304">
        <v>0</v>
      </c>
      <c r="J43" s="304">
        <v>0</v>
      </c>
      <c r="K43" s="304">
        <v>0</v>
      </c>
      <c r="L43" s="125">
        <v>0</v>
      </c>
    </row>
    <row r="44" spans="1:12" outlineLevel="2" x14ac:dyDescent="0.35">
      <c r="A44" s="783"/>
      <c r="B44" s="784"/>
      <c r="C44" s="784"/>
      <c r="D44" s="69" t="s">
        <v>33</v>
      </c>
      <c r="E44" s="73">
        <f t="shared" si="7"/>
        <v>0</v>
      </c>
      <c r="F44" s="123">
        <v>0</v>
      </c>
      <c r="G44" s="124">
        <v>0</v>
      </c>
      <c r="H44" s="304">
        <v>0</v>
      </c>
      <c r="I44" s="304">
        <v>0</v>
      </c>
      <c r="J44" s="304">
        <v>0</v>
      </c>
      <c r="K44" s="304">
        <v>0</v>
      </c>
      <c r="L44" s="125">
        <v>0</v>
      </c>
    </row>
    <row r="45" spans="1:12" ht="15" outlineLevel="2" thickBot="1" x14ac:dyDescent="0.4">
      <c r="A45" s="783"/>
      <c r="B45" s="784"/>
      <c r="C45" s="784"/>
      <c r="D45" s="70" t="s">
        <v>34</v>
      </c>
      <c r="E45" s="74">
        <f t="shared" si="7"/>
        <v>0</v>
      </c>
      <c r="F45" s="126">
        <v>0</v>
      </c>
      <c r="G45" s="127">
        <v>0</v>
      </c>
      <c r="H45" s="305">
        <v>0</v>
      </c>
      <c r="I45" s="305">
        <v>0</v>
      </c>
      <c r="J45" s="305">
        <v>0</v>
      </c>
      <c r="K45" s="305">
        <v>0</v>
      </c>
      <c r="L45" s="128">
        <v>0</v>
      </c>
    </row>
    <row r="46" spans="1:12" outlineLevel="2" x14ac:dyDescent="0.35">
      <c r="A46" s="783" t="s">
        <v>79</v>
      </c>
      <c r="B46" s="784" t="s">
        <v>80</v>
      </c>
      <c r="C46" s="784">
        <v>637001</v>
      </c>
      <c r="D46" s="68" t="s">
        <v>25</v>
      </c>
      <c r="E46" s="73">
        <f t="shared" si="7"/>
        <v>44730</v>
      </c>
      <c r="F46" s="120">
        <f>'Rozpočet - vývoj Aplikácií'!$BR$58/7</f>
        <v>6390</v>
      </c>
      <c r="G46" s="120">
        <f>'Rozpočet - vývoj Aplikácií'!$BR$58/7</f>
        <v>6390</v>
      </c>
      <c r="H46" s="120">
        <f>'Rozpočet - vývoj Aplikácií'!$BR$58/7</f>
        <v>6390</v>
      </c>
      <c r="I46" s="120">
        <f>'Rozpočet - vývoj Aplikácií'!$BR$58/7</f>
        <v>6390</v>
      </c>
      <c r="J46" s="120">
        <f>'Rozpočet - vývoj Aplikácií'!$BR$58/7</f>
        <v>6390</v>
      </c>
      <c r="K46" s="120">
        <f>'Rozpočet - vývoj Aplikácií'!$BR$58/7</f>
        <v>6390</v>
      </c>
      <c r="L46" s="120">
        <f>'Rozpočet - vývoj Aplikácií'!$BR$58/7</f>
        <v>6390</v>
      </c>
    </row>
    <row r="47" spans="1:12" outlineLevel="2" x14ac:dyDescent="0.35">
      <c r="A47" s="783"/>
      <c r="B47" s="784"/>
      <c r="C47" s="784"/>
      <c r="D47" s="69" t="s">
        <v>26</v>
      </c>
      <c r="E47" s="73">
        <f t="shared" si="7"/>
        <v>0</v>
      </c>
      <c r="F47" s="123">
        <v>0</v>
      </c>
      <c r="G47" s="124">
        <v>0</v>
      </c>
      <c r="H47" s="304">
        <v>0</v>
      </c>
      <c r="I47" s="304">
        <v>0</v>
      </c>
      <c r="J47" s="304">
        <v>0</v>
      </c>
      <c r="K47" s="304">
        <v>0</v>
      </c>
      <c r="L47" s="125">
        <v>0</v>
      </c>
    </row>
    <row r="48" spans="1:12" outlineLevel="2" x14ac:dyDescent="0.35">
      <c r="A48" s="783"/>
      <c r="B48" s="784"/>
      <c r="C48" s="784"/>
      <c r="D48" s="69" t="s">
        <v>27</v>
      </c>
      <c r="E48" s="73">
        <f t="shared" si="7"/>
        <v>0</v>
      </c>
      <c r="F48" s="123">
        <v>0</v>
      </c>
      <c r="G48" s="124">
        <v>0</v>
      </c>
      <c r="H48" s="304">
        <v>0</v>
      </c>
      <c r="I48" s="304">
        <v>0</v>
      </c>
      <c r="J48" s="304">
        <v>0</v>
      </c>
      <c r="K48" s="304">
        <v>0</v>
      </c>
      <c r="L48" s="125">
        <v>0</v>
      </c>
    </row>
    <row r="49" spans="1:12" outlineLevel="2" x14ac:dyDescent="0.35">
      <c r="A49" s="783"/>
      <c r="B49" s="784"/>
      <c r="C49" s="784"/>
      <c r="D49" s="69" t="s">
        <v>28</v>
      </c>
      <c r="E49" s="73">
        <f t="shared" si="7"/>
        <v>0</v>
      </c>
      <c r="F49" s="123">
        <v>0</v>
      </c>
      <c r="G49" s="124">
        <v>0</v>
      </c>
      <c r="H49" s="304">
        <v>0</v>
      </c>
      <c r="I49" s="304">
        <v>0</v>
      </c>
      <c r="J49" s="304">
        <v>0</v>
      </c>
      <c r="K49" s="304">
        <v>0</v>
      </c>
      <c r="L49" s="125">
        <v>0</v>
      </c>
    </row>
    <row r="50" spans="1:12" outlineLevel="2" x14ac:dyDescent="0.35">
      <c r="A50" s="783"/>
      <c r="B50" s="784"/>
      <c r="C50" s="784"/>
      <c r="D50" s="69" t="s">
        <v>29</v>
      </c>
      <c r="E50" s="73">
        <f t="shared" si="7"/>
        <v>0</v>
      </c>
      <c r="F50" s="123">
        <v>0</v>
      </c>
      <c r="G50" s="124">
        <v>0</v>
      </c>
      <c r="H50" s="304">
        <v>0</v>
      </c>
      <c r="I50" s="304">
        <v>0</v>
      </c>
      <c r="J50" s="304">
        <v>0</v>
      </c>
      <c r="K50" s="304">
        <v>0</v>
      </c>
      <c r="L50" s="125">
        <v>0</v>
      </c>
    </row>
    <row r="51" spans="1:12" outlineLevel="2" x14ac:dyDescent="0.35">
      <c r="A51" s="783"/>
      <c r="B51" s="784"/>
      <c r="C51" s="784"/>
      <c r="D51" s="69" t="s">
        <v>30</v>
      </c>
      <c r="E51" s="73">
        <f t="shared" si="7"/>
        <v>0</v>
      </c>
      <c r="F51" s="123">
        <v>0</v>
      </c>
      <c r="G51" s="124">
        <v>0</v>
      </c>
      <c r="H51" s="304">
        <v>0</v>
      </c>
      <c r="I51" s="304">
        <v>0</v>
      </c>
      <c r="J51" s="304">
        <v>0</v>
      </c>
      <c r="K51" s="304">
        <v>0</v>
      </c>
      <c r="L51" s="125">
        <v>0</v>
      </c>
    </row>
    <row r="52" spans="1:12" outlineLevel="2" x14ac:dyDescent="0.35">
      <c r="A52" s="783"/>
      <c r="B52" s="784"/>
      <c r="C52" s="784"/>
      <c r="D52" s="69" t="s">
        <v>31</v>
      </c>
      <c r="E52" s="73">
        <f t="shared" si="7"/>
        <v>0</v>
      </c>
      <c r="F52" s="123">
        <v>0</v>
      </c>
      <c r="G52" s="124">
        <v>0</v>
      </c>
      <c r="H52" s="304">
        <v>0</v>
      </c>
      <c r="I52" s="304">
        <v>0</v>
      </c>
      <c r="J52" s="304">
        <v>0</v>
      </c>
      <c r="K52" s="304">
        <v>0</v>
      </c>
      <c r="L52" s="125">
        <v>0</v>
      </c>
    </row>
    <row r="53" spans="1:12" outlineLevel="2" x14ac:dyDescent="0.35">
      <c r="A53" s="783"/>
      <c r="B53" s="784"/>
      <c r="C53" s="784"/>
      <c r="D53" s="69" t="s">
        <v>32</v>
      </c>
      <c r="E53" s="73">
        <f t="shared" si="7"/>
        <v>0</v>
      </c>
      <c r="F53" s="123">
        <v>0</v>
      </c>
      <c r="G53" s="124">
        <v>0</v>
      </c>
      <c r="H53" s="304">
        <v>0</v>
      </c>
      <c r="I53" s="304">
        <v>0</v>
      </c>
      <c r="J53" s="304">
        <v>0</v>
      </c>
      <c r="K53" s="304">
        <v>0</v>
      </c>
      <c r="L53" s="125">
        <v>0</v>
      </c>
    </row>
    <row r="54" spans="1:12" outlineLevel="2" x14ac:dyDescent="0.35">
      <c r="A54" s="783"/>
      <c r="B54" s="784"/>
      <c r="C54" s="784"/>
      <c r="D54" s="69" t="s">
        <v>33</v>
      </c>
      <c r="E54" s="73">
        <f t="shared" si="7"/>
        <v>0</v>
      </c>
      <c r="F54" s="123">
        <v>0</v>
      </c>
      <c r="G54" s="124">
        <v>0</v>
      </c>
      <c r="H54" s="304">
        <v>0</v>
      </c>
      <c r="I54" s="304">
        <v>0</v>
      </c>
      <c r="J54" s="304">
        <v>0</v>
      </c>
      <c r="K54" s="304">
        <v>0</v>
      </c>
      <c r="L54" s="125">
        <v>0</v>
      </c>
    </row>
    <row r="55" spans="1:12" ht="15" outlineLevel="2" thickBot="1" x14ac:dyDescent="0.4">
      <c r="A55" s="783"/>
      <c r="B55" s="784"/>
      <c r="C55" s="784"/>
      <c r="D55" s="69" t="s">
        <v>34</v>
      </c>
      <c r="E55" s="74">
        <f t="shared" si="7"/>
        <v>0</v>
      </c>
      <c r="F55" s="126">
        <v>0</v>
      </c>
      <c r="G55" s="127">
        <v>0</v>
      </c>
      <c r="H55" s="305">
        <v>0</v>
      </c>
      <c r="I55" s="305">
        <v>0</v>
      </c>
      <c r="J55" s="305">
        <v>0</v>
      </c>
      <c r="K55" s="305">
        <v>0</v>
      </c>
      <c r="L55" s="128">
        <v>0</v>
      </c>
    </row>
    <row r="56" spans="1:12" ht="15" thickBot="1" x14ac:dyDescent="0.4">
      <c r="A56" s="787" t="s">
        <v>81</v>
      </c>
      <c r="B56" s="788"/>
      <c r="C56" s="788"/>
      <c r="D56" s="82"/>
      <c r="E56" s="78">
        <f t="shared" ref="E56:L56" si="8">E57+E78</f>
        <v>3815854.4688749998</v>
      </c>
      <c r="F56" s="79">
        <f t="shared" si="8"/>
        <v>549034.77198214282</v>
      </c>
      <c r="G56" s="79">
        <f t="shared" si="8"/>
        <v>543893.02698214282</v>
      </c>
      <c r="H56" s="298">
        <f t="shared" si="8"/>
        <v>548851.44198214286</v>
      </c>
      <c r="I56" s="298">
        <f t="shared" si="8"/>
        <v>538682.29698214284</v>
      </c>
      <c r="J56" s="298">
        <f t="shared" ref="J56:K56" si="9">J57+J78</f>
        <v>534704.79198214284</v>
      </c>
      <c r="K56" s="298">
        <f t="shared" si="9"/>
        <v>540850.1269821428</v>
      </c>
      <c r="L56" s="80">
        <f t="shared" si="8"/>
        <v>559838.01198214281</v>
      </c>
    </row>
    <row r="57" spans="1:12" ht="15" outlineLevel="1" thickBot="1" x14ac:dyDescent="0.4">
      <c r="A57" s="17" t="s">
        <v>108</v>
      </c>
      <c r="B57" s="17"/>
      <c r="C57" s="17"/>
      <c r="D57" s="28"/>
      <c r="E57" s="138">
        <f t="shared" ref="E57" si="10">SUM(E58:E77)</f>
        <v>1012614.372</v>
      </c>
      <c r="F57" s="139">
        <f t="shared" ref="F57:L57" si="11">SUM(F58:F77)</f>
        <v>144659.19600000003</v>
      </c>
      <c r="G57" s="139">
        <f t="shared" si="11"/>
        <v>144659.19600000003</v>
      </c>
      <c r="H57" s="306">
        <f t="shared" si="11"/>
        <v>144659.19600000003</v>
      </c>
      <c r="I57" s="306">
        <f t="shared" si="11"/>
        <v>144659.19600000003</v>
      </c>
      <c r="J57" s="306">
        <f t="shared" ref="J57:K57" si="12">SUM(J58:J77)</f>
        <v>144659.19600000003</v>
      </c>
      <c r="K57" s="306">
        <f t="shared" si="12"/>
        <v>144659.19600000003</v>
      </c>
      <c r="L57" s="36">
        <f t="shared" si="11"/>
        <v>144659.19600000003</v>
      </c>
    </row>
    <row r="58" spans="1:12" outlineLevel="2" x14ac:dyDescent="0.35">
      <c r="A58" s="783" t="s">
        <v>82</v>
      </c>
      <c r="B58" s="784" t="s">
        <v>83</v>
      </c>
      <c r="C58" s="784">
        <v>635009</v>
      </c>
      <c r="D58" s="68" t="s">
        <v>25</v>
      </c>
      <c r="E58" s="65">
        <f t="shared" ref="E58:E77" si="13">SUM(F58:L58)</f>
        <v>0</v>
      </c>
      <c r="F58" s="129">
        <v>0</v>
      </c>
      <c r="G58" s="130">
        <v>0</v>
      </c>
      <c r="H58" s="299">
        <v>0</v>
      </c>
      <c r="I58" s="299">
        <v>0</v>
      </c>
      <c r="J58" s="299">
        <v>0</v>
      </c>
      <c r="K58" s="299">
        <v>0</v>
      </c>
      <c r="L58" s="135">
        <v>0</v>
      </c>
    </row>
    <row r="59" spans="1:12" outlineLevel="2" x14ac:dyDescent="0.35">
      <c r="A59" s="783"/>
      <c r="B59" s="784"/>
      <c r="C59" s="784"/>
      <c r="D59" s="69" t="s">
        <v>26</v>
      </c>
      <c r="E59" s="66">
        <f t="shared" si="13"/>
        <v>112512.70800000001</v>
      </c>
      <c r="F59" s="131">
        <f>0.22*(SUM('Rozpočet - HW a licencie'!$E$4:$E$19))/7</f>
        <v>16073.244000000001</v>
      </c>
      <c r="G59" s="131">
        <f>0.22*(SUM('Rozpočet - HW a licencie'!$E$4:$E$19))/7</f>
        <v>16073.244000000001</v>
      </c>
      <c r="H59" s="131">
        <f>0.22*(SUM('Rozpočet - HW a licencie'!$E$4:$E$19))/7</f>
        <v>16073.244000000001</v>
      </c>
      <c r="I59" s="131">
        <f>0.22*(SUM('Rozpočet - HW a licencie'!$E$4:$E$19))/7</f>
        <v>16073.244000000001</v>
      </c>
      <c r="J59" s="131">
        <f>0.22*(SUM('Rozpočet - HW a licencie'!$E$4:$E$19))/7</f>
        <v>16073.244000000001</v>
      </c>
      <c r="K59" s="131">
        <f>0.22*(SUM('Rozpočet - HW a licencie'!$E$4:$E$19))/7</f>
        <v>16073.244000000001</v>
      </c>
      <c r="L59" s="131">
        <f>0.22*(SUM('Rozpočet - HW a licencie'!$E$4:$E$19))/7</f>
        <v>16073.244000000001</v>
      </c>
    </row>
    <row r="60" spans="1:12" outlineLevel="2" x14ac:dyDescent="0.35">
      <c r="A60" s="783"/>
      <c r="B60" s="784"/>
      <c r="C60" s="784"/>
      <c r="D60" s="69" t="s">
        <v>27</v>
      </c>
      <c r="E60" s="66">
        <f t="shared" si="13"/>
        <v>112512.70800000001</v>
      </c>
      <c r="F60" s="131">
        <f>0.22*(SUM('Rozpočet - HW a licencie'!$E$4:$E$19))/7</f>
        <v>16073.244000000001</v>
      </c>
      <c r="G60" s="131">
        <f>0.22*(SUM('Rozpočet - HW a licencie'!$E$4:$E$19))/7</f>
        <v>16073.244000000001</v>
      </c>
      <c r="H60" s="131">
        <f>0.22*(SUM('Rozpočet - HW a licencie'!$E$4:$E$19))/7</f>
        <v>16073.244000000001</v>
      </c>
      <c r="I60" s="131">
        <f>0.22*(SUM('Rozpočet - HW a licencie'!$E$4:$E$19))/7</f>
        <v>16073.244000000001</v>
      </c>
      <c r="J60" s="131">
        <f>0.22*(SUM('Rozpočet - HW a licencie'!$E$4:$E$19))/7</f>
        <v>16073.244000000001</v>
      </c>
      <c r="K60" s="131">
        <f>0.22*(SUM('Rozpočet - HW a licencie'!$E$4:$E$19))/7</f>
        <v>16073.244000000001</v>
      </c>
      <c r="L60" s="131">
        <f>0.22*(SUM('Rozpočet - HW a licencie'!$E$4:$E$19))/7</f>
        <v>16073.244000000001</v>
      </c>
    </row>
    <row r="61" spans="1:12" outlineLevel="2" x14ac:dyDescent="0.35">
      <c r="A61" s="783"/>
      <c r="B61" s="784"/>
      <c r="C61" s="784"/>
      <c r="D61" s="69" t="s">
        <v>28</v>
      </c>
      <c r="E61" s="66">
        <f t="shared" si="13"/>
        <v>112512.70800000001</v>
      </c>
      <c r="F61" s="131">
        <f>0.22*(SUM('Rozpočet - HW a licencie'!$E$4:$E$19))/7</f>
        <v>16073.244000000001</v>
      </c>
      <c r="G61" s="131">
        <f>0.22*(SUM('Rozpočet - HW a licencie'!$E$4:$E$19))/7</f>
        <v>16073.244000000001</v>
      </c>
      <c r="H61" s="131">
        <f>0.22*(SUM('Rozpočet - HW a licencie'!$E$4:$E$19))/7</f>
        <v>16073.244000000001</v>
      </c>
      <c r="I61" s="131">
        <f>0.22*(SUM('Rozpočet - HW a licencie'!$E$4:$E$19))/7</f>
        <v>16073.244000000001</v>
      </c>
      <c r="J61" s="131">
        <f>0.22*(SUM('Rozpočet - HW a licencie'!$E$4:$E$19))/7</f>
        <v>16073.244000000001</v>
      </c>
      <c r="K61" s="131">
        <f>0.22*(SUM('Rozpočet - HW a licencie'!$E$4:$E$19))/7</f>
        <v>16073.244000000001</v>
      </c>
      <c r="L61" s="131">
        <f>0.22*(SUM('Rozpočet - HW a licencie'!$E$4:$E$19))/7</f>
        <v>16073.244000000001</v>
      </c>
    </row>
    <row r="62" spans="1:12" outlineLevel="2" x14ac:dyDescent="0.35">
      <c r="A62" s="783"/>
      <c r="B62" s="784"/>
      <c r="C62" s="784"/>
      <c r="D62" s="69" t="s">
        <v>29</v>
      </c>
      <c r="E62" s="66">
        <f t="shared" si="13"/>
        <v>112512.70800000001</v>
      </c>
      <c r="F62" s="131">
        <f>0.22*(SUM('Rozpočet - HW a licencie'!$E$4:$E$19))/7</f>
        <v>16073.244000000001</v>
      </c>
      <c r="G62" s="131">
        <f>0.22*(SUM('Rozpočet - HW a licencie'!$E$4:$E$19))/7</f>
        <v>16073.244000000001</v>
      </c>
      <c r="H62" s="131">
        <f>0.22*(SUM('Rozpočet - HW a licencie'!$E$4:$E$19))/7</f>
        <v>16073.244000000001</v>
      </c>
      <c r="I62" s="131">
        <f>0.22*(SUM('Rozpočet - HW a licencie'!$E$4:$E$19))/7</f>
        <v>16073.244000000001</v>
      </c>
      <c r="J62" s="131">
        <f>0.22*(SUM('Rozpočet - HW a licencie'!$E$4:$E$19))/7</f>
        <v>16073.244000000001</v>
      </c>
      <c r="K62" s="131">
        <f>0.22*(SUM('Rozpočet - HW a licencie'!$E$4:$E$19))/7</f>
        <v>16073.244000000001</v>
      </c>
      <c r="L62" s="131">
        <f>0.22*(SUM('Rozpočet - HW a licencie'!$E$4:$E$19))/7</f>
        <v>16073.244000000001</v>
      </c>
    </row>
    <row r="63" spans="1:12" outlineLevel="2" x14ac:dyDescent="0.35">
      <c r="A63" s="783"/>
      <c r="B63" s="784"/>
      <c r="C63" s="784"/>
      <c r="D63" s="69" t="s">
        <v>30</v>
      </c>
      <c r="E63" s="66">
        <f t="shared" si="13"/>
        <v>112512.70800000001</v>
      </c>
      <c r="F63" s="131">
        <f>0.22*(SUM('Rozpočet - HW a licencie'!$E$4:$E$19))/7</f>
        <v>16073.244000000001</v>
      </c>
      <c r="G63" s="131">
        <f>0.22*(SUM('Rozpočet - HW a licencie'!$E$4:$E$19))/7</f>
        <v>16073.244000000001</v>
      </c>
      <c r="H63" s="131">
        <f>0.22*(SUM('Rozpočet - HW a licencie'!$E$4:$E$19))/7</f>
        <v>16073.244000000001</v>
      </c>
      <c r="I63" s="131">
        <f>0.22*(SUM('Rozpočet - HW a licencie'!$E$4:$E$19))/7</f>
        <v>16073.244000000001</v>
      </c>
      <c r="J63" s="131">
        <f>0.22*(SUM('Rozpočet - HW a licencie'!$E$4:$E$19))/7</f>
        <v>16073.244000000001</v>
      </c>
      <c r="K63" s="131">
        <f>0.22*(SUM('Rozpočet - HW a licencie'!$E$4:$E$19))/7</f>
        <v>16073.244000000001</v>
      </c>
      <c r="L63" s="131">
        <f>0.22*(SUM('Rozpočet - HW a licencie'!$E$4:$E$19))/7</f>
        <v>16073.244000000001</v>
      </c>
    </row>
    <row r="64" spans="1:12" outlineLevel="2" x14ac:dyDescent="0.35">
      <c r="A64" s="783"/>
      <c r="B64" s="784"/>
      <c r="C64" s="784"/>
      <c r="D64" s="69" t="s">
        <v>31</v>
      </c>
      <c r="E64" s="66">
        <f t="shared" si="13"/>
        <v>112512.70800000001</v>
      </c>
      <c r="F64" s="131">
        <f>0.22*(SUM('Rozpočet - HW a licencie'!$E$4:$E$19))/7</f>
        <v>16073.244000000001</v>
      </c>
      <c r="G64" s="131">
        <f>0.22*(SUM('Rozpočet - HW a licencie'!$E$4:$E$19))/7</f>
        <v>16073.244000000001</v>
      </c>
      <c r="H64" s="131">
        <f>0.22*(SUM('Rozpočet - HW a licencie'!$E$4:$E$19))/7</f>
        <v>16073.244000000001</v>
      </c>
      <c r="I64" s="131">
        <f>0.22*(SUM('Rozpočet - HW a licencie'!$E$4:$E$19))/7</f>
        <v>16073.244000000001</v>
      </c>
      <c r="J64" s="131">
        <f>0.22*(SUM('Rozpočet - HW a licencie'!$E$4:$E$19))/7</f>
        <v>16073.244000000001</v>
      </c>
      <c r="K64" s="131">
        <f>0.22*(SUM('Rozpočet - HW a licencie'!$E$4:$E$19))/7</f>
        <v>16073.244000000001</v>
      </c>
      <c r="L64" s="131">
        <f>0.22*(SUM('Rozpočet - HW a licencie'!$E$4:$E$19))/7</f>
        <v>16073.244000000001</v>
      </c>
    </row>
    <row r="65" spans="1:12" outlineLevel="2" x14ac:dyDescent="0.35">
      <c r="A65" s="783"/>
      <c r="B65" s="784"/>
      <c r="C65" s="784"/>
      <c r="D65" s="69" t="s">
        <v>32</v>
      </c>
      <c r="E65" s="66">
        <f t="shared" si="13"/>
        <v>112512.70800000001</v>
      </c>
      <c r="F65" s="131">
        <f>0.22*(SUM('Rozpočet - HW a licencie'!$E$4:$E$19))/7</f>
        <v>16073.244000000001</v>
      </c>
      <c r="G65" s="131">
        <f>0.22*(SUM('Rozpočet - HW a licencie'!$E$4:$E$19))/7</f>
        <v>16073.244000000001</v>
      </c>
      <c r="H65" s="131">
        <f>0.22*(SUM('Rozpočet - HW a licencie'!$E$4:$E$19))/7</f>
        <v>16073.244000000001</v>
      </c>
      <c r="I65" s="131">
        <f>0.22*(SUM('Rozpočet - HW a licencie'!$E$4:$E$19))/7</f>
        <v>16073.244000000001</v>
      </c>
      <c r="J65" s="131">
        <f>0.22*(SUM('Rozpočet - HW a licencie'!$E$4:$E$19))/7</f>
        <v>16073.244000000001</v>
      </c>
      <c r="K65" s="131">
        <f>0.22*(SUM('Rozpočet - HW a licencie'!$E$4:$E$19))/7</f>
        <v>16073.244000000001</v>
      </c>
      <c r="L65" s="131">
        <f>0.22*(SUM('Rozpočet - HW a licencie'!$E$4:$E$19))/7</f>
        <v>16073.244000000001</v>
      </c>
    </row>
    <row r="66" spans="1:12" outlineLevel="2" x14ac:dyDescent="0.35">
      <c r="A66" s="783"/>
      <c r="B66" s="784"/>
      <c r="C66" s="784"/>
      <c r="D66" s="69" t="s">
        <v>33</v>
      </c>
      <c r="E66" s="66">
        <f t="shared" si="13"/>
        <v>112512.70800000001</v>
      </c>
      <c r="F66" s="131">
        <f>0.22*(SUM('Rozpočet - HW a licencie'!$E$4:$E$19))/7</f>
        <v>16073.244000000001</v>
      </c>
      <c r="G66" s="131">
        <f>0.22*(SUM('Rozpočet - HW a licencie'!$E$4:$E$19))/7</f>
        <v>16073.244000000001</v>
      </c>
      <c r="H66" s="131">
        <f>0.22*(SUM('Rozpočet - HW a licencie'!$E$4:$E$19))/7</f>
        <v>16073.244000000001</v>
      </c>
      <c r="I66" s="131">
        <f>0.22*(SUM('Rozpočet - HW a licencie'!$E$4:$E$19))/7</f>
        <v>16073.244000000001</v>
      </c>
      <c r="J66" s="131">
        <f>0.22*(SUM('Rozpočet - HW a licencie'!$E$4:$E$19))/7</f>
        <v>16073.244000000001</v>
      </c>
      <c r="K66" s="131">
        <f>0.22*(SUM('Rozpočet - HW a licencie'!$E$4:$E$19))/7</f>
        <v>16073.244000000001</v>
      </c>
      <c r="L66" s="131">
        <f>0.22*(SUM('Rozpočet - HW a licencie'!$E$4:$E$19))/7</f>
        <v>16073.244000000001</v>
      </c>
    </row>
    <row r="67" spans="1:12" ht="15" outlineLevel="2" thickBot="1" x14ac:dyDescent="0.4">
      <c r="A67" s="783"/>
      <c r="B67" s="784"/>
      <c r="C67" s="784"/>
      <c r="D67" s="70" t="s">
        <v>34</v>
      </c>
      <c r="E67" s="67">
        <f t="shared" si="13"/>
        <v>112512.70800000001</v>
      </c>
      <c r="F67" s="131">
        <f>0.22*(SUM('Rozpočet - HW a licencie'!$E$4:$E$19))/7</f>
        <v>16073.244000000001</v>
      </c>
      <c r="G67" s="131">
        <f>0.22*(SUM('Rozpočet - HW a licencie'!$E$4:$E$19))/7</f>
        <v>16073.244000000001</v>
      </c>
      <c r="H67" s="131">
        <f>0.22*(SUM('Rozpočet - HW a licencie'!$E$4:$E$19))/7</f>
        <v>16073.244000000001</v>
      </c>
      <c r="I67" s="131">
        <f>0.22*(SUM('Rozpočet - HW a licencie'!$E$4:$E$19))/7</f>
        <v>16073.244000000001</v>
      </c>
      <c r="J67" s="131">
        <f>0.22*(SUM('Rozpočet - HW a licencie'!$E$4:$E$19))/7</f>
        <v>16073.244000000001</v>
      </c>
      <c r="K67" s="131">
        <f>0.22*(SUM('Rozpočet - HW a licencie'!$E$4:$E$19))/7</f>
        <v>16073.244000000001</v>
      </c>
      <c r="L67" s="131">
        <f>0.22*(SUM('Rozpočet - HW a licencie'!$E$4:$E$19))/7</f>
        <v>16073.244000000001</v>
      </c>
    </row>
    <row r="68" spans="1:12" outlineLevel="2" x14ac:dyDescent="0.35">
      <c r="A68" s="783" t="s">
        <v>84</v>
      </c>
      <c r="B68" s="784" t="s">
        <v>75</v>
      </c>
      <c r="C68" s="784">
        <v>718006</v>
      </c>
      <c r="D68" s="68" t="s">
        <v>25</v>
      </c>
      <c r="E68" s="66">
        <f t="shared" si="13"/>
        <v>0</v>
      </c>
      <c r="F68" s="129">
        <v>0</v>
      </c>
      <c r="G68" s="130">
        <v>0</v>
      </c>
      <c r="H68" s="299">
        <v>0</v>
      </c>
      <c r="I68" s="299">
        <v>0</v>
      </c>
      <c r="J68" s="299">
        <v>0</v>
      </c>
      <c r="K68" s="299">
        <v>0</v>
      </c>
      <c r="L68" s="135">
        <v>0</v>
      </c>
    </row>
    <row r="69" spans="1:12" outlineLevel="2" x14ac:dyDescent="0.35">
      <c r="A69" s="783"/>
      <c r="B69" s="784"/>
      <c r="C69" s="784"/>
      <c r="D69" s="69" t="s">
        <v>26</v>
      </c>
      <c r="E69" s="66">
        <f t="shared" si="13"/>
        <v>0</v>
      </c>
      <c r="F69" s="131">
        <v>0</v>
      </c>
      <c r="G69" s="132">
        <v>0</v>
      </c>
      <c r="H69" s="300">
        <v>0</v>
      </c>
      <c r="I69" s="300">
        <v>0</v>
      </c>
      <c r="J69" s="300">
        <v>0</v>
      </c>
      <c r="K69" s="300">
        <v>0</v>
      </c>
      <c r="L69" s="136">
        <v>0</v>
      </c>
    </row>
    <row r="70" spans="1:12" outlineLevel="2" x14ac:dyDescent="0.35">
      <c r="A70" s="783"/>
      <c r="B70" s="784"/>
      <c r="C70" s="784"/>
      <c r="D70" s="69" t="s">
        <v>27</v>
      </c>
      <c r="E70" s="66">
        <f t="shared" si="13"/>
        <v>0</v>
      </c>
      <c r="F70" s="131">
        <v>0</v>
      </c>
      <c r="G70" s="132">
        <v>0</v>
      </c>
      <c r="H70" s="300">
        <v>0</v>
      </c>
      <c r="I70" s="300">
        <v>0</v>
      </c>
      <c r="J70" s="300">
        <v>0</v>
      </c>
      <c r="K70" s="300">
        <v>0</v>
      </c>
      <c r="L70" s="136">
        <v>0</v>
      </c>
    </row>
    <row r="71" spans="1:12" outlineLevel="2" x14ac:dyDescent="0.35">
      <c r="A71" s="783"/>
      <c r="B71" s="784"/>
      <c r="C71" s="784"/>
      <c r="D71" s="69" t="s">
        <v>28</v>
      </c>
      <c r="E71" s="66">
        <f t="shared" si="13"/>
        <v>0</v>
      </c>
      <c r="F71" s="131">
        <v>0</v>
      </c>
      <c r="G71" s="132">
        <v>0</v>
      </c>
      <c r="H71" s="300">
        <v>0</v>
      </c>
      <c r="I71" s="300">
        <v>0</v>
      </c>
      <c r="J71" s="300">
        <v>0</v>
      </c>
      <c r="K71" s="300">
        <v>0</v>
      </c>
      <c r="L71" s="136">
        <v>0</v>
      </c>
    </row>
    <row r="72" spans="1:12" outlineLevel="2" x14ac:dyDescent="0.35">
      <c r="A72" s="783"/>
      <c r="B72" s="784"/>
      <c r="C72" s="784"/>
      <c r="D72" s="69" t="s">
        <v>29</v>
      </c>
      <c r="E72" s="66">
        <f t="shared" si="13"/>
        <v>0</v>
      </c>
      <c r="F72" s="131">
        <v>0</v>
      </c>
      <c r="G72" s="132">
        <v>0</v>
      </c>
      <c r="H72" s="300">
        <v>0</v>
      </c>
      <c r="I72" s="300">
        <v>0</v>
      </c>
      <c r="J72" s="300">
        <v>0</v>
      </c>
      <c r="K72" s="300">
        <v>0</v>
      </c>
      <c r="L72" s="136">
        <v>0</v>
      </c>
    </row>
    <row r="73" spans="1:12" outlineLevel="2" x14ac:dyDescent="0.35">
      <c r="A73" s="783"/>
      <c r="B73" s="784"/>
      <c r="C73" s="784"/>
      <c r="D73" s="69" t="s">
        <v>30</v>
      </c>
      <c r="E73" s="66">
        <f t="shared" si="13"/>
        <v>0</v>
      </c>
      <c r="F73" s="131">
        <v>0</v>
      </c>
      <c r="G73" s="132">
        <v>0</v>
      </c>
      <c r="H73" s="300">
        <v>0</v>
      </c>
      <c r="I73" s="300">
        <v>0</v>
      </c>
      <c r="J73" s="300">
        <v>0</v>
      </c>
      <c r="K73" s="300">
        <v>0</v>
      </c>
      <c r="L73" s="136">
        <v>0</v>
      </c>
    </row>
    <row r="74" spans="1:12" outlineLevel="2" x14ac:dyDescent="0.35">
      <c r="A74" s="783"/>
      <c r="B74" s="784"/>
      <c r="C74" s="784"/>
      <c r="D74" s="69" t="s">
        <v>31</v>
      </c>
      <c r="E74" s="66">
        <f t="shared" si="13"/>
        <v>0</v>
      </c>
      <c r="F74" s="131">
        <v>0</v>
      </c>
      <c r="G74" s="132">
        <v>0</v>
      </c>
      <c r="H74" s="300">
        <v>0</v>
      </c>
      <c r="I74" s="300">
        <v>0</v>
      </c>
      <c r="J74" s="300">
        <v>0</v>
      </c>
      <c r="K74" s="300">
        <v>0</v>
      </c>
      <c r="L74" s="136">
        <v>0</v>
      </c>
    </row>
    <row r="75" spans="1:12" outlineLevel="2" x14ac:dyDescent="0.35">
      <c r="A75" s="783"/>
      <c r="B75" s="784"/>
      <c r="C75" s="784"/>
      <c r="D75" s="69" t="s">
        <v>32</v>
      </c>
      <c r="E75" s="66">
        <f t="shared" si="13"/>
        <v>0</v>
      </c>
      <c r="F75" s="131">
        <v>0</v>
      </c>
      <c r="G75" s="132">
        <v>0</v>
      </c>
      <c r="H75" s="300">
        <v>0</v>
      </c>
      <c r="I75" s="300">
        <v>0</v>
      </c>
      <c r="J75" s="300">
        <v>0</v>
      </c>
      <c r="K75" s="300">
        <v>0</v>
      </c>
      <c r="L75" s="136">
        <v>0</v>
      </c>
    </row>
    <row r="76" spans="1:12" outlineLevel="2" x14ac:dyDescent="0.35">
      <c r="A76" s="783"/>
      <c r="B76" s="784"/>
      <c r="C76" s="784"/>
      <c r="D76" s="69" t="s">
        <v>33</v>
      </c>
      <c r="E76" s="66">
        <f t="shared" si="13"/>
        <v>0</v>
      </c>
      <c r="F76" s="131">
        <v>0</v>
      </c>
      <c r="G76" s="132">
        <v>0</v>
      </c>
      <c r="H76" s="300">
        <v>0</v>
      </c>
      <c r="I76" s="300">
        <v>0</v>
      </c>
      <c r="J76" s="300">
        <v>0</v>
      </c>
      <c r="K76" s="300">
        <v>0</v>
      </c>
      <c r="L76" s="136">
        <v>0</v>
      </c>
    </row>
    <row r="77" spans="1:12" ht="15" outlineLevel="2" thickBot="1" x14ac:dyDescent="0.4">
      <c r="A77" s="783"/>
      <c r="B77" s="784"/>
      <c r="C77" s="784"/>
      <c r="D77" s="70" t="s">
        <v>34</v>
      </c>
      <c r="E77" s="67">
        <f t="shared" si="13"/>
        <v>0</v>
      </c>
      <c r="F77" s="133">
        <v>0</v>
      </c>
      <c r="G77" s="134">
        <v>0</v>
      </c>
      <c r="H77" s="301">
        <v>0</v>
      </c>
      <c r="I77" s="301">
        <v>0</v>
      </c>
      <c r="J77" s="301">
        <v>0</v>
      </c>
      <c r="K77" s="301">
        <v>0</v>
      </c>
      <c r="L77" s="137">
        <v>0</v>
      </c>
    </row>
    <row r="78" spans="1:12" ht="15" outlineLevel="1" thickBot="1" x14ac:dyDescent="0.4">
      <c r="A78" s="17" t="s">
        <v>109</v>
      </c>
      <c r="B78" s="17"/>
      <c r="C78" s="17"/>
      <c r="D78" s="28"/>
      <c r="E78" s="140">
        <f>SUM(E79:E128)</f>
        <v>2803240.0968749998</v>
      </c>
      <c r="F78" s="141">
        <f t="shared" ref="F78:L78" si="14">SUM(F79:F128)</f>
        <v>404375.57598214282</v>
      </c>
      <c r="G78" s="141">
        <f t="shared" si="14"/>
        <v>399233.83098214277</v>
      </c>
      <c r="H78" s="307">
        <f t="shared" si="14"/>
        <v>404192.24598214281</v>
      </c>
      <c r="I78" s="307">
        <f t="shared" si="14"/>
        <v>394023.10098214279</v>
      </c>
      <c r="J78" s="307">
        <f t="shared" ref="J78:K78" si="15">SUM(J79:J128)</f>
        <v>390045.59598214278</v>
      </c>
      <c r="K78" s="307">
        <f t="shared" si="15"/>
        <v>396190.9309821428</v>
      </c>
      <c r="L78" s="142">
        <f t="shared" si="14"/>
        <v>415178.81598214281</v>
      </c>
    </row>
    <row r="79" spans="1:12" outlineLevel="2" x14ac:dyDescent="0.35">
      <c r="A79" s="783" t="s">
        <v>85</v>
      </c>
      <c r="B79" s="784" t="s">
        <v>83</v>
      </c>
      <c r="C79" s="784">
        <v>635009</v>
      </c>
      <c r="D79" s="68" t="s">
        <v>25</v>
      </c>
      <c r="E79" s="72">
        <f t="shared" ref="E79:E110" si="16">SUM(F79:L79)</f>
        <v>0</v>
      </c>
      <c r="F79" s="120">
        <v>0</v>
      </c>
      <c r="G79" s="121">
        <v>0</v>
      </c>
      <c r="H79" s="303">
        <v>0</v>
      </c>
      <c r="I79" s="303">
        <v>0</v>
      </c>
      <c r="J79" s="303">
        <v>0</v>
      </c>
      <c r="K79" s="303">
        <v>0</v>
      </c>
      <c r="L79" s="122">
        <v>0</v>
      </c>
    </row>
    <row r="80" spans="1:12" outlineLevel="2" x14ac:dyDescent="0.35">
      <c r="A80" s="783"/>
      <c r="B80" s="784"/>
      <c r="C80" s="784"/>
      <c r="D80" s="69" t="s">
        <v>26</v>
      </c>
      <c r="E80" s="73">
        <f t="shared" si="16"/>
        <v>83792.45</v>
      </c>
      <c r="F80" s="131">
        <f>0.05*$F$3</f>
        <v>12405.095000000001</v>
      </c>
      <c r="G80" s="131">
        <f>0.05*$G$3</f>
        <v>11833.789999999999</v>
      </c>
      <c r="H80" s="131">
        <f>0.05*$H$3</f>
        <v>12384.725</v>
      </c>
      <c r="I80" s="131">
        <f>0.05*$I$3</f>
        <v>11254.82</v>
      </c>
      <c r="J80" s="131">
        <f>0.05*$J$3</f>
        <v>10812.875</v>
      </c>
      <c r="K80" s="131">
        <f>0.05*$K$3</f>
        <v>11495.69</v>
      </c>
      <c r="L80" s="131">
        <f>0.05*$L$3</f>
        <v>13605.455</v>
      </c>
    </row>
    <row r="81" spans="1:12" outlineLevel="2" x14ac:dyDescent="0.35">
      <c r="A81" s="783"/>
      <c r="B81" s="784"/>
      <c r="C81" s="784"/>
      <c r="D81" s="69" t="s">
        <v>27</v>
      </c>
      <c r="E81" s="73">
        <f t="shared" si="16"/>
        <v>83792.45</v>
      </c>
      <c r="F81" s="131">
        <f t="shared" ref="F81:F88" si="17">0.05*$F$3</f>
        <v>12405.095000000001</v>
      </c>
      <c r="G81" s="131">
        <f t="shared" ref="G81:G88" si="18">0.05*$G$3</f>
        <v>11833.789999999999</v>
      </c>
      <c r="H81" s="131">
        <f t="shared" ref="H81:H88" si="19">0.05*$H$3</f>
        <v>12384.725</v>
      </c>
      <c r="I81" s="131">
        <f t="shared" ref="I81:I88" si="20">0.05*$I$3</f>
        <v>11254.82</v>
      </c>
      <c r="J81" s="131">
        <f t="shared" ref="J81:J88" si="21">0.05*$J$3</f>
        <v>10812.875</v>
      </c>
      <c r="K81" s="131">
        <f t="shared" ref="K81:K88" si="22">0.05*$K$3</f>
        <v>11495.69</v>
      </c>
      <c r="L81" s="131">
        <f t="shared" ref="L81:L88" si="23">0.05*$L$3</f>
        <v>13605.455</v>
      </c>
    </row>
    <row r="82" spans="1:12" outlineLevel="2" x14ac:dyDescent="0.35">
      <c r="A82" s="783"/>
      <c r="B82" s="784"/>
      <c r="C82" s="784"/>
      <c r="D82" s="69" t="s">
        <v>28</v>
      </c>
      <c r="E82" s="73">
        <f t="shared" si="16"/>
        <v>83792.45</v>
      </c>
      <c r="F82" s="131">
        <f t="shared" si="17"/>
        <v>12405.095000000001</v>
      </c>
      <c r="G82" s="131">
        <f t="shared" si="18"/>
        <v>11833.789999999999</v>
      </c>
      <c r="H82" s="131">
        <f t="shared" si="19"/>
        <v>12384.725</v>
      </c>
      <c r="I82" s="131">
        <f t="shared" si="20"/>
        <v>11254.82</v>
      </c>
      <c r="J82" s="131">
        <f t="shared" si="21"/>
        <v>10812.875</v>
      </c>
      <c r="K82" s="131">
        <f t="shared" si="22"/>
        <v>11495.69</v>
      </c>
      <c r="L82" s="131">
        <f t="shared" si="23"/>
        <v>13605.455</v>
      </c>
    </row>
    <row r="83" spans="1:12" outlineLevel="2" x14ac:dyDescent="0.35">
      <c r="A83" s="783"/>
      <c r="B83" s="784"/>
      <c r="C83" s="784"/>
      <c r="D83" s="69" t="s">
        <v>29</v>
      </c>
      <c r="E83" s="73">
        <f t="shared" si="16"/>
        <v>83792.45</v>
      </c>
      <c r="F83" s="131">
        <f t="shared" si="17"/>
        <v>12405.095000000001</v>
      </c>
      <c r="G83" s="131">
        <f t="shared" si="18"/>
        <v>11833.789999999999</v>
      </c>
      <c r="H83" s="131">
        <f t="shared" si="19"/>
        <v>12384.725</v>
      </c>
      <c r="I83" s="131">
        <f t="shared" si="20"/>
        <v>11254.82</v>
      </c>
      <c r="J83" s="131">
        <f t="shared" si="21"/>
        <v>10812.875</v>
      </c>
      <c r="K83" s="131">
        <f t="shared" si="22"/>
        <v>11495.69</v>
      </c>
      <c r="L83" s="131">
        <f t="shared" si="23"/>
        <v>13605.455</v>
      </c>
    </row>
    <row r="84" spans="1:12" outlineLevel="2" x14ac:dyDescent="0.35">
      <c r="A84" s="783"/>
      <c r="B84" s="784"/>
      <c r="C84" s="784"/>
      <c r="D84" s="69" t="s">
        <v>30</v>
      </c>
      <c r="E84" s="73">
        <f t="shared" si="16"/>
        <v>83792.45</v>
      </c>
      <c r="F84" s="131">
        <f t="shared" si="17"/>
        <v>12405.095000000001</v>
      </c>
      <c r="G84" s="131">
        <f t="shared" si="18"/>
        <v>11833.789999999999</v>
      </c>
      <c r="H84" s="131">
        <f t="shared" si="19"/>
        <v>12384.725</v>
      </c>
      <c r="I84" s="131">
        <f t="shared" si="20"/>
        <v>11254.82</v>
      </c>
      <c r="J84" s="131">
        <f t="shared" si="21"/>
        <v>10812.875</v>
      </c>
      <c r="K84" s="131">
        <f t="shared" si="22"/>
        <v>11495.69</v>
      </c>
      <c r="L84" s="131">
        <f t="shared" si="23"/>
        <v>13605.455</v>
      </c>
    </row>
    <row r="85" spans="1:12" outlineLevel="2" x14ac:dyDescent="0.35">
      <c r="A85" s="783"/>
      <c r="B85" s="784"/>
      <c r="C85" s="784"/>
      <c r="D85" s="69" t="s">
        <v>31</v>
      </c>
      <c r="E85" s="73">
        <f t="shared" si="16"/>
        <v>83792.45</v>
      </c>
      <c r="F85" s="131">
        <f t="shared" si="17"/>
        <v>12405.095000000001</v>
      </c>
      <c r="G85" s="131">
        <f t="shared" si="18"/>
        <v>11833.789999999999</v>
      </c>
      <c r="H85" s="131">
        <f t="shared" si="19"/>
        <v>12384.725</v>
      </c>
      <c r="I85" s="131">
        <f t="shared" si="20"/>
        <v>11254.82</v>
      </c>
      <c r="J85" s="131">
        <f t="shared" si="21"/>
        <v>10812.875</v>
      </c>
      <c r="K85" s="131">
        <f t="shared" si="22"/>
        <v>11495.69</v>
      </c>
      <c r="L85" s="131">
        <f t="shared" si="23"/>
        <v>13605.455</v>
      </c>
    </row>
    <row r="86" spans="1:12" outlineLevel="2" x14ac:dyDescent="0.35">
      <c r="A86" s="783"/>
      <c r="B86" s="784"/>
      <c r="C86" s="784"/>
      <c r="D86" s="69" t="s">
        <v>32</v>
      </c>
      <c r="E86" s="73">
        <f t="shared" si="16"/>
        <v>83792.45</v>
      </c>
      <c r="F86" s="131">
        <f t="shared" si="17"/>
        <v>12405.095000000001</v>
      </c>
      <c r="G86" s="131">
        <f t="shared" si="18"/>
        <v>11833.789999999999</v>
      </c>
      <c r="H86" s="131">
        <f t="shared" si="19"/>
        <v>12384.725</v>
      </c>
      <c r="I86" s="131">
        <f t="shared" si="20"/>
        <v>11254.82</v>
      </c>
      <c r="J86" s="131">
        <f t="shared" si="21"/>
        <v>10812.875</v>
      </c>
      <c r="K86" s="131">
        <f t="shared" si="22"/>
        <v>11495.69</v>
      </c>
      <c r="L86" s="131">
        <f t="shared" si="23"/>
        <v>13605.455</v>
      </c>
    </row>
    <row r="87" spans="1:12" outlineLevel="2" x14ac:dyDescent="0.35">
      <c r="A87" s="783"/>
      <c r="B87" s="784"/>
      <c r="C87" s="784"/>
      <c r="D87" s="69" t="s">
        <v>33</v>
      </c>
      <c r="E87" s="73">
        <f t="shared" si="16"/>
        <v>83792.45</v>
      </c>
      <c r="F87" s="131">
        <f t="shared" si="17"/>
        <v>12405.095000000001</v>
      </c>
      <c r="G87" s="131">
        <f t="shared" si="18"/>
        <v>11833.789999999999</v>
      </c>
      <c r="H87" s="131">
        <f t="shared" si="19"/>
        <v>12384.725</v>
      </c>
      <c r="I87" s="131">
        <f t="shared" si="20"/>
        <v>11254.82</v>
      </c>
      <c r="J87" s="131">
        <f t="shared" si="21"/>
        <v>10812.875</v>
      </c>
      <c r="K87" s="131">
        <f t="shared" si="22"/>
        <v>11495.69</v>
      </c>
      <c r="L87" s="131">
        <f t="shared" si="23"/>
        <v>13605.455</v>
      </c>
    </row>
    <row r="88" spans="1:12" ht="15" outlineLevel="2" thickBot="1" x14ac:dyDescent="0.4">
      <c r="A88" s="783"/>
      <c r="B88" s="784"/>
      <c r="C88" s="784"/>
      <c r="D88" s="70" t="s">
        <v>34</v>
      </c>
      <c r="E88" s="74">
        <f t="shared" si="16"/>
        <v>83792.45</v>
      </c>
      <c r="F88" s="131">
        <f t="shared" si="17"/>
        <v>12405.095000000001</v>
      </c>
      <c r="G88" s="131">
        <f t="shared" si="18"/>
        <v>11833.789999999999</v>
      </c>
      <c r="H88" s="131">
        <f t="shared" si="19"/>
        <v>12384.725</v>
      </c>
      <c r="I88" s="131">
        <f t="shared" si="20"/>
        <v>11254.82</v>
      </c>
      <c r="J88" s="131">
        <f t="shared" si="21"/>
        <v>10812.875</v>
      </c>
      <c r="K88" s="131">
        <f t="shared" si="22"/>
        <v>11495.69</v>
      </c>
      <c r="L88" s="131">
        <f t="shared" si="23"/>
        <v>13605.455</v>
      </c>
    </row>
    <row r="89" spans="1:12" outlineLevel="2" x14ac:dyDescent="0.35">
      <c r="A89" s="783" t="s">
        <v>86</v>
      </c>
      <c r="B89" s="784" t="s">
        <v>80</v>
      </c>
      <c r="C89" s="784">
        <v>637005</v>
      </c>
      <c r="D89" s="68" t="s">
        <v>25</v>
      </c>
      <c r="E89" s="73">
        <f t="shared" si="16"/>
        <v>0</v>
      </c>
      <c r="F89" s="120">
        <v>0</v>
      </c>
      <c r="G89" s="121">
        <v>0</v>
      </c>
      <c r="H89" s="303">
        <v>0</v>
      </c>
      <c r="I89" s="303">
        <v>0</v>
      </c>
      <c r="J89" s="303">
        <v>0</v>
      </c>
      <c r="K89" s="303">
        <v>0</v>
      </c>
      <c r="L89" s="122">
        <v>0</v>
      </c>
    </row>
    <row r="90" spans="1:12" outlineLevel="2" x14ac:dyDescent="0.35">
      <c r="A90" s="783"/>
      <c r="B90" s="784"/>
      <c r="C90" s="784"/>
      <c r="D90" s="69" t="s">
        <v>26</v>
      </c>
      <c r="E90" s="73">
        <f t="shared" si="16"/>
        <v>0</v>
      </c>
      <c r="F90" s="123">
        <v>0</v>
      </c>
      <c r="G90" s="124">
        <v>0</v>
      </c>
      <c r="H90" s="304">
        <v>0</v>
      </c>
      <c r="I90" s="304">
        <v>0</v>
      </c>
      <c r="J90" s="304">
        <v>0</v>
      </c>
      <c r="K90" s="304">
        <v>0</v>
      </c>
      <c r="L90" s="125">
        <v>0</v>
      </c>
    </row>
    <row r="91" spans="1:12" outlineLevel="2" x14ac:dyDescent="0.35">
      <c r="A91" s="783"/>
      <c r="B91" s="784"/>
      <c r="C91" s="784"/>
      <c r="D91" s="69" t="s">
        <v>27</v>
      </c>
      <c r="E91" s="73">
        <f t="shared" si="16"/>
        <v>0</v>
      </c>
      <c r="F91" s="123">
        <v>0</v>
      </c>
      <c r="G91" s="124">
        <v>0</v>
      </c>
      <c r="H91" s="304">
        <v>0</v>
      </c>
      <c r="I91" s="304">
        <v>0</v>
      </c>
      <c r="J91" s="304">
        <v>0</v>
      </c>
      <c r="K91" s="304">
        <v>0</v>
      </c>
      <c r="L91" s="125">
        <v>0</v>
      </c>
    </row>
    <row r="92" spans="1:12" outlineLevel="2" x14ac:dyDescent="0.35">
      <c r="A92" s="783"/>
      <c r="B92" s="784"/>
      <c r="C92" s="784"/>
      <c r="D92" s="69" t="s">
        <v>28</v>
      </c>
      <c r="E92" s="73">
        <f t="shared" si="16"/>
        <v>0</v>
      </c>
      <c r="F92" s="123">
        <v>0</v>
      </c>
      <c r="G92" s="124">
        <v>0</v>
      </c>
      <c r="H92" s="304">
        <v>0</v>
      </c>
      <c r="I92" s="304">
        <v>0</v>
      </c>
      <c r="J92" s="304">
        <v>0</v>
      </c>
      <c r="K92" s="304">
        <v>0</v>
      </c>
      <c r="L92" s="125">
        <v>0</v>
      </c>
    </row>
    <row r="93" spans="1:12" outlineLevel="2" x14ac:dyDescent="0.35">
      <c r="A93" s="783"/>
      <c r="B93" s="784"/>
      <c r="C93" s="784"/>
      <c r="D93" s="69" t="s">
        <v>29</v>
      </c>
      <c r="E93" s="73">
        <f t="shared" si="16"/>
        <v>0</v>
      </c>
      <c r="F93" s="123">
        <v>0</v>
      </c>
      <c r="G93" s="124">
        <v>0</v>
      </c>
      <c r="H93" s="304">
        <v>0</v>
      </c>
      <c r="I93" s="304">
        <v>0</v>
      </c>
      <c r="J93" s="304">
        <v>0</v>
      </c>
      <c r="K93" s="304">
        <v>0</v>
      </c>
      <c r="L93" s="125">
        <v>0</v>
      </c>
    </row>
    <row r="94" spans="1:12" outlineLevel="2" x14ac:dyDescent="0.35">
      <c r="A94" s="783"/>
      <c r="B94" s="784"/>
      <c r="C94" s="784"/>
      <c r="D94" s="69" t="s">
        <v>30</v>
      </c>
      <c r="E94" s="73">
        <f t="shared" si="16"/>
        <v>0</v>
      </c>
      <c r="F94" s="123">
        <v>0</v>
      </c>
      <c r="G94" s="124">
        <v>0</v>
      </c>
      <c r="H94" s="304">
        <v>0</v>
      </c>
      <c r="I94" s="304">
        <v>0</v>
      </c>
      <c r="J94" s="304">
        <v>0</v>
      </c>
      <c r="K94" s="304">
        <v>0</v>
      </c>
      <c r="L94" s="125">
        <v>0</v>
      </c>
    </row>
    <row r="95" spans="1:12" outlineLevel="2" x14ac:dyDescent="0.35">
      <c r="A95" s="783"/>
      <c r="B95" s="784"/>
      <c r="C95" s="784"/>
      <c r="D95" s="69" t="s">
        <v>31</v>
      </c>
      <c r="E95" s="73">
        <f t="shared" si="16"/>
        <v>0</v>
      </c>
      <c r="F95" s="123">
        <v>0</v>
      </c>
      <c r="G95" s="124">
        <v>0</v>
      </c>
      <c r="H95" s="304">
        <v>0</v>
      </c>
      <c r="I95" s="304">
        <v>0</v>
      </c>
      <c r="J95" s="304">
        <v>0</v>
      </c>
      <c r="K95" s="304">
        <v>0</v>
      </c>
      <c r="L95" s="125">
        <v>0</v>
      </c>
    </row>
    <row r="96" spans="1:12" outlineLevel="2" x14ac:dyDescent="0.35">
      <c r="A96" s="783"/>
      <c r="B96" s="784"/>
      <c r="C96" s="784"/>
      <c r="D96" s="69" t="s">
        <v>32</v>
      </c>
      <c r="E96" s="73">
        <f t="shared" si="16"/>
        <v>0</v>
      </c>
      <c r="F96" s="123">
        <v>0</v>
      </c>
      <c r="G96" s="124">
        <v>0</v>
      </c>
      <c r="H96" s="304">
        <v>0</v>
      </c>
      <c r="I96" s="304">
        <v>0</v>
      </c>
      <c r="J96" s="304">
        <v>0</v>
      </c>
      <c r="K96" s="304">
        <v>0</v>
      </c>
      <c r="L96" s="125">
        <v>0</v>
      </c>
    </row>
    <row r="97" spans="1:12" outlineLevel="2" x14ac:dyDescent="0.35">
      <c r="A97" s="783"/>
      <c r="B97" s="784"/>
      <c r="C97" s="784"/>
      <c r="D97" s="69" t="s">
        <v>33</v>
      </c>
      <c r="E97" s="73">
        <f t="shared" si="16"/>
        <v>0</v>
      </c>
      <c r="F97" s="123">
        <v>0</v>
      </c>
      <c r="G97" s="124">
        <v>0</v>
      </c>
      <c r="H97" s="304">
        <v>0</v>
      </c>
      <c r="I97" s="304">
        <v>0</v>
      </c>
      <c r="J97" s="304">
        <v>0</v>
      </c>
      <c r="K97" s="304">
        <v>0</v>
      </c>
      <c r="L97" s="125">
        <v>0</v>
      </c>
    </row>
    <row r="98" spans="1:12" ht="15" outlineLevel="2" thickBot="1" x14ac:dyDescent="0.4">
      <c r="A98" s="783"/>
      <c r="B98" s="784"/>
      <c r="C98" s="784"/>
      <c r="D98" s="70" t="s">
        <v>34</v>
      </c>
      <c r="E98" s="74">
        <f t="shared" si="16"/>
        <v>0</v>
      </c>
      <c r="F98" s="126">
        <v>0</v>
      </c>
      <c r="G98" s="127">
        <v>0</v>
      </c>
      <c r="H98" s="305">
        <v>0</v>
      </c>
      <c r="I98" s="305">
        <v>0</v>
      </c>
      <c r="J98" s="305">
        <v>0</v>
      </c>
      <c r="K98" s="305">
        <v>0</v>
      </c>
      <c r="L98" s="128">
        <v>0</v>
      </c>
    </row>
    <row r="99" spans="1:12" outlineLevel="2" x14ac:dyDescent="0.35">
      <c r="A99" s="783" t="s">
        <v>87</v>
      </c>
      <c r="B99" s="784" t="s">
        <v>75</v>
      </c>
      <c r="C99" s="784">
        <v>718006</v>
      </c>
      <c r="D99" s="68" t="s">
        <v>25</v>
      </c>
      <c r="E99" s="73">
        <f t="shared" si="16"/>
        <v>0</v>
      </c>
      <c r="F99" s="120">
        <v>0</v>
      </c>
      <c r="G99" s="121">
        <v>0</v>
      </c>
      <c r="H99" s="303">
        <v>0</v>
      </c>
      <c r="I99" s="303">
        <v>0</v>
      </c>
      <c r="J99" s="303">
        <v>0</v>
      </c>
      <c r="K99" s="303">
        <v>0</v>
      </c>
      <c r="L99" s="122">
        <v>0</v>
      </c>
    </row>
    <row r="100" spans="1:12" outlineLevel="2" x14ac:dyDescent="0.35">
      <c r="A100" s="783"/>
      <c r="B100" s="784"/>
      <c r="C100" s="784"/>
      <c r="D100" s="69" t="s">
        <v>26</v>
      </c>
      <c r="E100" s="73">
        <f t="shared" ref="E100:E107" si="24">SUM(F100:L100)</f>
        <v>177999.99999999997</v>
      </c>
      <c r="F100" s="123">
        <f>(1000*712)/28</f>
        <v>25428.571428571428</v>
      </c>
      <c r="G100" s="123">
        <f t="shared" ref="G100:L100" si="25">(1000*712)/28</f>
        <v>25428.571428571428</v>
      </c>
      <c r="H100" s="123">
        <f t="shared" si="25"/>
        <v>25428.571428571428</v>
      </c>
      <c r="I100" s="123">
        <f t="shared" si="25"/>
        <v>25428.571428571428</v>
      </c>
      <c r="J100" s="123">
        <f t="shared" si="25"/>
        <v>25428.571428571428</v>
      </c>
      <c r="K100" s="123">
        <f t="shared" si="25"/>
        <v>25428.571428571428</v>
      </c>
      <c r="L100" s="123">
        <f t="shared" si="25"/>
        <v>25428.571428571428</v>
      </c>
    </row>
    <row r="101" spans="1:12" outlineLevel="2" x14ac:dyDescent="0.35">
      <c r="A101" s="783"/>
      <c r="B101" s="784"/>
      <c r="C101" s="784"/>
      <c r="D101" s="69" t="s">
        <v>27</v>
      </c>
      <c r="E101" s="73">
        <f t="shared" si="24"/>
        <v>177999.99999999997</v>
      </c>
      <c r="F101" s="123">
        <f t="shared" ref="F101:L108" si="26">(1000*712)/28</f>
        <v>25428.571428571428</v>
      </c>
      <c r="G101" s="123">
        <f t="shared" si="26"/>
        <v>25428.571428571428</v>
      </c>
      <c r="H101" s="123">
        <f t="shared" si="26"/>
        <v>25428.571428571428</v>
      </c>
      <c r="I101" s="123">
        <f t="shared" si="26"/>
        <v>25428.571428571428</v>
      </c>
      <c r="J101" s="123">
        <f t="shared" si="26"/>
        <v>25428.571428571428</v>
      </c>
      <c r="K101" s="123">
        <f t="shared" si="26"/>
        <v>25428.571428571428</v>
      </c>
      <c r="L101" s="123">
        <f t="shared" si="26"/>
        <v>25428.571428571428</v>
      </c>
    </row>
    <row r="102" spans="1:12" outlineLevel="2" x14ac:dyDescent="0.35">
      <c r="A102" s="783"/>
      <c r="B102" s="784"/>
      <c r="C102" s="784"/>
      <c r="D102" s="69" t="s">
        <v>28</v>
      </c>
      <c r="E102" s="73">
        <f t="shared" si="24"/>
        <v>177999.99999999997</v>
      </c>
      <c r="F102" s="123">
        <f t="shared" si="26"/>
        <v>25428.571428571428</v>
      </c>
      <c r="G102" s="123">
        <f t="shared" si="26"/>
        <v>25428.571428571428</v>
      </c>
      <c r="H102" s="123">
        <f t="shared" si="26"/>
        <v>25428.571428571428</v>
      </c>
      <c r="I102" s="123">
        <f t="shared" si="26"/>
        <v>25428.571428571428</v>
      </c>
      <c r="J102" s="123">
        <f t="shared" si="26"/>
        <v>25428.571428571428</v>
      </c>
      <c r="K102" s="123">
        <f t="shared" si="26"/>
        <v>25428.571428571428</v>
      </c>
      <c r="L102" s="123">
        <f t="shared" si="26"/>
        <v>25428.571428571428</v>
      </c>
    </row>
    <row r="103" spans="1:12" outlineLevel="2" x14ac:dyDescent="0.35">
      <c r="A103" s="783"/>
      <c r="B103" s="784"/>
      <c r="C103" s="784"/>
      <c r="D103" s="69" t="s">
        <v>29</v>
      </c>
      <c r="E103" s="73">
        <f t="shared" si="24"/>
        <v>177999.99999999997</v>
      </c>
      <c r="F103" s="123">
        <f t="shared" si="26"/>
        <v>25428.571428571428</v>
      </c>
      <c r="G103" s="123">
        <f t="shared" si="26"/>
        <v>25428.571428571428</v>
      </c>
      <c r="H103" s="123">
        <f t="shared" si="26"/>
        <v>25428.571428571428</v>
      </c>
      <c r="I103" s="123">
        <f t="shared" si="26"/>
        <v>25428.571428571428</v>
      </c>
      <c r="J103" s="123">
        <f t="shared" si="26"/>
        <v>25428.571428571428</v>
      </c>
      <c r="K103" s="123">
        <f t="shared" si="26"/>
        <v>25428.571428571428</v>
      </c>
      <c r="L103" s="123">
        <f t="shared" si="26"/>
        <v>25428.571428571428</v>
      </c>
    </row>
    <row r="104" spans="1:12" outlineLevel="2" x14ac:dyDescent="0.35">
      <c r="A104" s="783"/>
      <c r="B104" s="784"/>
      <c r="C104" s="784"/>
      <c r="D104" s="69" t="s">
        <v>30</v>
      </c>
      <c r="E104" s="73">
        <f t="shared" si="24"/>
        <v>177999.99999999997</v>
      </c>
      <c r="F104" s="123">
        <f t="shared" si="26"/>
        <v>25428.571428571428</v>
      </c>
      <c r="G104" s="123">
        <f t="shared" si="26"/>
        <v>25428.571428571428</v>
      </c>
      <c r="H104" s="123">
        <f t="shared" si="26"/>
        <v>25428.571428571428</v>
      </c>
      <c r="I104" s="123">
        <f t="shared" si="26"/>
        <v>25428.571428571428</v>
      </c>
      <c r="J104" s="123">
        <f t="shared" si="26"/>
        <v>25428.571428571428</v>
      </c>
      <c r="K104" s="123">
        <f t="shared" si="26"/>
        <v>25428.571428571428</v>
      </c>
      <c r="L104" s="123">
        <f t="shared" si="26"/>
        <v>25428.571428571428</v>
      </c>
    </row>
    <row r="105" spans="1:12" outlineLevel="2" x14ac:dyDescent="0.35">
      <c r="A105" s="783"/>
      <c r="B105" s="784"/>
      <c r="C105" s="784"/>
      <c r="D105" s="69" t="s">
        <v>31</v>
      </c>
      <c r="E105" s="73">
        <f t="shared" si="24"/>
        <v>177999.99999999997</v>
      </c>
      <c r="F105" s="123">
        <f t="shared" si="26"/>
        <v>25428.571428571428</v>
      </c>
      <c r="G105" s="123">
        <f t="shared" si="26"/>
        <v>25428.571428571428</v>
      </c>
      <c r="H105" s="123">
        <f t="shared" si="26"/>
        <v>25428.571428571428</v>
      </c>
      <c r="I105" s="123">
        <f t="shared" si="26"/>
        <v>25428.571428571428</v>
      </c>
      <c r="J105" s="123">
        <f t="shared" si="26"/>
        <v>25428.571428571428</v>
      </c>
      <c r="K105" s="123">
        <f t="shared" si="26"/>
        <v>25428.571428571428</v>
      </c>
      <c r="L105" s="123">
        <f t="shared" si="26"/>
        <v>25428.571428571428</v>
      </c>
    </row>
    <row r="106" spans="1:12" outlineLevel="2" x14ac:dyDescent="0.35">
      <c r="A106" s="783"/>
      <c r="B106" s="784"/>
      <c r="C106" s="784"/>
      <c r="D106" s="69" t="s">
        <v>32</v>
      </c>
      <c r="E106" s="73">
        <f t="shared" si="24"/>
        <v>177999.99999999997</v>
      </c>
      <c r="F106" s="123">
        <f t="shared" si="26"/>
        <v>25428.571428571428</v>
      </c>
      <c r="G106" s="123">
        <f t="shared" si="26"/>
        <v>25428.571428571428</v>
      </c>
      <c r="H106" s="123">
        <f t="shared" si="26"/>
        <v>25428.571428571428</v>
      </c>
      <c r="I106" s="123">
        <f t="shared" si="26"/>
        <v>25428.571428571428</v>
      </c>
      <c r="J106" s="123">
        <f t="shared" si="26"/>
        <v>25428.571428571428</v>
      </c>
      <c r="K106" s="123">
        <f t="shared" si="26"/>
        <v>25428.571428571428</v>
      </c>
      <c r="L106" s="123">
        <f t="shared" si="26"/>
        <v>25428.571428571428</v>
      </c>
    </row>
    <row r="107" spans="1:12" outlineLevel="2" x14ac:dyDescent="0.35">
      <c r="A107" s="783"/>
      <c r="B107" s="784"/>
      <c r="C107" s="784"/>
      <c r="D107" s="69" t="s">
        <v>33</v>
      </c>
      <c r="E107" s="73">
        <f t="shared" si="24"/>
        <v>177999.99999999997</v>
      </c>
      <c r="F107" s="123">
        <f t="shared" si="26"/>
        <v>25428.571428571428</v>
      </c>
      <c r="G107" s="123">
        <f t="shared" si="26"/>
        <v>25428.571428571428</v>
      </c>
      <c r="H107" s="123">
        <f t="shared" si="26"/>
        <v>25428.571428571428</v>
      </c>
      <c r="I107" s="123">
        <f t="shared" si="26"/>
        <v>25428.571428571428</v>
      </c>
      <c r="J107" s="123">
        <f t="shared" si="26"/>
        <v>25428.571428571428</v>
      </c>
      <c r="K107" s="123">
        <f t="shared" si="26"/>
        <v>25428.571428571428</v>
      </c>
      <c r="L107" s="123">
        <f t="shared" si="26"/>
        <v>25428.571428571428</v>
      </c>
    </row>
    <row r="108" spans="1:12" ht="15" outlineLevel="2" thickBot="1" x14ac:dyDescent="0.4">
      <c r="A108" s="783"/>
      <c r="B108" s="784"/>
      <c r="C108" s="784"/>
      <c r="D108" s="70" t="s">
        <v>34</v>
      </c>
      <c r="E108" s="74">
        <f t="shared" si="16"/>
        <v>177999.99999999997</v>
      </c>
      <c r="F108" s="123">
        <f t="shared" si="26"/>
        <v>25428.571428571428</v>
      </c>
      <c r="G108" s="123">
        <f t="shared" si="26"/>
        <v>25428.571428571428</v>
      </c>
      <c r="H108" s="123">
        <f t="shared" si="26"/>
        <v>25428.571428571428</v>
      </c>
      <c r="I108" s="123">
        <f t="shared" si="26"/>
        <v>25428.571428571428</v>
      </c>
      <c r="J108" s="123">
        <f t="shared" si="26"/>
        <v>25428.571428571428</v>
      </c>
      <c r="K108" s="123">
        <f t="shared" si="26"/>
        <v>25428.571428571428</v>
      </c>
      <c r="L108" s="123">
        <f t="shared" si="26"/>
        <v>25428.571428571428</v>
      </c>
    </row>
    <row r="109" spans="1:12" outlineLevel="2" x14ac:dyDescent="0.35">
      <c r="A109" s="783" t="s">
        <v>88</v>
      </c>
      <c r="B109" s="784" t="s">
        <v>89</v>
      </c>
      <c r="C109" s="784">
        <v>610</v>
      </c>
      <c r="D109" s="68" t="s">
        <v>25</v>
      </c>
      <c r="E109" s="73">
        <f t="shared" si="16"/>
        <v>0</v>
      </c>
      <c r="F109" s="120">
        <v>0</v>
      </c>
      <c r="G109" s="121">
        <v>0</v>
      </c>
      <c r="H109" s="303">
        <v>0</v>
      </c>
      <c r="I109" s="303">
        <v>0</v>
      </c>
      <c r="J109" s="303">
        <v>0</v>
      </c>
      <c r="K109" s="303">
        <v>0</v>
      </c>
      <c r="L109" s="122">
        <v>0</v>
      </c>
    </row>
    <row r="110" spans="1:12" outlineLevel="2" x14ac:dyDescent="0.35">
      <c r="A110" s="783"/>
      <c r="B110" s="784"/>
      <c r="C110" s="784"/>
      <c r="D110" s="69" t="s">
        <v>26</v>
      </c>
      <c r="E110" s="73">
        <f t="shared" si="16"/>
        <v>49678.671875</v>
      </c>
      <c r="F110" s="123">
        <f>(SUM('Rozpočet - vývoj Aplikácií'!$BQ$57:$BR$57)/32)</f>
        <v>7096.953125</v>
      </c>
      <c r="G110" s="123">
        <f>(SUM('Rozpočet - vývoj Aplikácií'!$BQ$57:$BR$57)/32)</f>
        <v>7096.953125</v>
      </c>
      <c r="H110" s="123">
        <f>(SUM('Rozpočet - vývoj Aplikácií'!$BQ$57:$BR$57)/32)</f>
        <v>7096.953125</v>
      </c>
      <c r="I110" s="123">
        <f>(SUM('Rozpočet - vývoj Aplikácií'!$BQ$57:$BR$57)/32)</f>
        <v>7096.953125</v>
      </c>
      <c r="J110" s="123">
        <f>(SUM('Rozpočet - vývoj Aplikácií'!$BQ$57:$BR$57)/32)</f>
        <v>7096.953125</v>
      </c>
      <c r="K110" s="123">
        <f>(SUM('Rozpočet - vývoj Aplikácií'!$BQ$57:$BR$57)/32)</f>
        <v>7096.953125</v>
      </c>
      <c r="L110" s="123">
        <f>(SUM('Rozpočet - vývoj Aplikácií'!$BQ$57:$BR$57)/32)</f>
        <v>7096.953125</v>
      </c>
    </row>
    <row r="111" spans="1:12" outlineLevel="2" x14ac:dyDescent="0.35">
      <c r="A111" s="783"/>
      <c r="B111" s="784"/>
      <c r="C111" s="784"/>
      <c r="D111" s="69" t="s">
        <v>27</v>
      </c>
      <c r="E111" s="73">
        <f t="shared" ref="E111:E128" si="27">SUM(F111:L111)</f>
        <v>49678.671875</v>
      </c>
      <c r="F111" s="123">
        <f>(SUM('Rozpočet - vývoj Aplikácií'!$BQ$57:$BR$57)/32)</f>
        <v>7096.953125</v>
      </c>
      <c r="G111" s="123">
        <f>(SUM('Rozpočet - vývoj Aplikácií'!$BQ$57:$BR$57)/32)</f>
        <v>7096.953125</v>
      </c>
      <c r="H111" s="123">
        <f>(SUM('Rozpočet - vývoj Aplikácií'!$BQ$57:$BR$57)/32)</f>
        <v>7096.953125</v>
      </c>
      <c r="I111" s="123">
        <f>(SUM('Rozpočet - vývoj Aplikácií'!$BQ$57:$BR$57)/32)</f>
        <v>7096.953125</v>
      </c>
      <c r="J111" s="123">
        <f>(SUM('Rozpočet - vývoj Aplikácií'!$BQ$57:$BR$57)/32)</f>
        <v>7096.953125</v>
      </c>
      <c r="K111" s="123">
        <f>(SUM('Rozpočet - vývoj Aplikácií'!$BQ$57:$BR$57)/32)</f>
        <v>7096.953125</v>
      </c>
      <c r="L111" s="123">
        <f>(SUM('Rozpočet - vývoj Aplikácií'!$BQ$57:$BR$57)/32)</f>
        <v>7096.953125</v>
      </c>
    </row>
    <row r="112" spans="1:12" outlineLevel="2" x14ac:dyDescent="0.35">
      <c r="A112" s="783"/>
      <c r="B112" s="784"/>
      <c r="C112" s="784"/>
      <c r="D112" s="69" t="s">
        <v>28</v>
      </c>
      <c r="E112" s="73">
        <f t="shared" si="27"/>
        <v>49678.671875</v>
      </c>
      <c r="F112" s="123">
        <f>(SUM('Rozpočet - vývoj Aplikácií'!$BQ$57:$BR$57)/32)</f>
        <v>7096.953125</v>
      </c>
      <c r="G112" s="123">
        <f>(SUM('Rozpočet - vývoj Aplikácií'!$BQ$57:$BR$57)/32)</f>
        <v>7096.953125</v>
      </c>
      <c r="H112" s="123">
        <f>(SUM('Rozpočet - vývoj Aplikácií'!$BQ$57:$BR$57)/32)</f>
        <v>7096.953125</v>
      </c>
      <c r="I112" s="123">
        <f>(SUM('Rozpočet - vývoj Aplikácií'!$BQ$57:$BR$57)/32)</f>
        <v>7096.953125</v>
      </c>
      <c r="J112" s="123">
        <f>(SUM('Rozpočet - vývoj Aplikácií'!$BQ$57:$BR$57)/32)</f>
        <v>7096.953125</v>
      </c>
      <c r="K112" s="123">
        <f>(SUM('Rozpočet - vývoj Aplikácií'!$BQ$57:$BR$57)/32)</f>
        <v>7096.953125</v>
      </c>
      <c r="L112" s="123">
        <f>(SUM('Rozpočet - vývoj Aplikácií'!$BQ$57:$BR$57)/32)</f>
        <v>7096.953125</v>
      </c>
    </row>
    <row r="113" spans="1:12" outlineLevel="2" x14ac:dyDescent="0.35">
      <c r="A113" s="783"/>
      <c r="B113" s="784"/>
      <c r="C113" s="784"/>
      <c r="D113" s="69" t="s">
        <v>29</v>
      </c>
      <c r="E113" s="73">
        <f t="shared" si="27"/>
        <v>49678.671875</v>
      </c>
      <c r="F113" s="123">
        <f>(SUM('Rozpočet - vývoj Aplikácií'!$BQ$57:$BR$57)/32)</f>
        <v>7096.953125</v>
      </c>
      <c r="G113" s="123">
        <f>(SUM('Rozpočet - vývoj Aplikácií'!$BQ$57:$BR$57)/32)</f>
        <v>7096.953125</v>
      </c>
      <c r="H113" s="123">
        <f>(SUM('Rozpočet - vývoj Aplikácií'!$BQ$57:$BR$57)/32)</f>
        <v>7096.953125</v>
      </c>
      <c r="I113" s="123">
        <f>(SUM('Rozpočet - vývoj Aplikácií'!$BQ$57:$BR$57)/32)</f>
        <v>7096.953125</v>
      </c>
      <c r="J113" s="123">
        <f>(SUM('Rozpočet - vývoj Aplikácií'!$BQ$57:$BR$57)/32)</f>
        <v>7096.953125</v>
      </c>
      <c r="K113" s="123">
        <f>(SUM('Rozpočet - vývoj Aplikácií'!$BQ$57:$BR$57)/32)</f>
        <v>7096.953125</v>
      </c>
      <c r="L113" s="123">
        <f>(SUM('Rozpočet - vývoj Aplikácií'!$BQ$57:$BR$57)/32)</f>
        <v>7096.953125</v>
      </c>
    </row>
    <row r="114" spans="1:12" outlineLevel="2" x14ac:dyDescent="0.35">
      <c r="A114" s="783"/>
      <c r="B114" s="784"/>
      <c r="C114" s="784"/>
      <c r="D114" s="69" t="s">
        <v>30</v>
      </c>
      <c r="E114" s="73">
        <f t="shared" si="27"/>
        <v>49678.671875</v>
      </c>
      <c r="F114" s="123">
        <f>(SUM('Rozpočet - vývoj Aplikácií'!$BQ$57:$BR$57)/32)</f>
        <v>7096.953125</v>
      </c>
      <c r="G114" s="123">
        <f>(SUM('Rozpočet - vývoj Aplikácií'!$BQ$57:$BR$57)/32)</f>
        <v>7096.953125</v>
      </c>
      <c r="H114" s="123">
        <f>(SUM('Rozpočet - vývoj Aplikácií'!$BQ$57:$BR$57)/32)</f>
        <v>7096.953125</v>
      </c>
      <c r="I114" s="123">
        <f>(SUM('Rozpočet - vývoj Aplikácií'!$BQ$57:$BR$57)/32)</f>
        <v>7096.953125</v>
      </c>
      <c r="J114" s="123">
        <f>(SUM('Rozpočet - vývoj Aplikácií'!$BQ$57:$BR$57)/32)</f>
        <v>7096.953125</v>
      </c>
      <c r="K114" s="123">
        <f>(SUM('Rozpočet - vývoj Aplikácií'!$BQ$57:$BR$57)/32)</f>
        <v>7096.953125</v>
      </c>
      <c r="L114" s="123">
        <f>(SUM('Rozpočet - vývoj Aplikácií'!$BQ$57:$BR$57)/32)</f>
        <v>7096.953125</v>
      </c>
    </row>
    <row r="115" spans="1:12" outlineLevel="2" x14ac:dyDescent="0.35">
      <c r="A115" s="783"/>
      <c r="B115" s="784"/>
      <c r="C115" s="784"/>
      <c r="D115" s="69" t="s">
        <v>31</v>
      </c>
      <c r="E115" s="73">
        <f t="shared" si="27"/>
        <v>49678.671875</v>
      </c>
      <c r="F115" s="123">
        <f>(SUM('Rozpočet - vývoj Aplikácií'!$BQ$57:$BR$57)/32)</f>
        <v>7096.953125</v>
      </c>
      <c r="G115" s="123">
        <f>(SUM('Rozpočet - vývoj Aplikácií'!$BQ$57:$BR$57)/32)</f>
        <v>7096.953125</v>
      </c>
      <c r="H115" s="123">
        <f>(SUM('Rozpočet - vývoj Aplikácií'!$BQ$57:$BR$57)/32)</f>
        <v>7096.953125</v>
      </c>
      <c r="I115" s="123">
        <f>(SUM('Rozpočet - vývoj Aplikácií'!$BQ$57:$BR$57)/32)</f>
        <v>7096.953125</v>
      </c>
      <c r="J115" s="123">
        <f>(SUM('Rozpočet - vývoj Aplikácií'!$BQ$57:$BR$57)/32)</f>
        <v>7096.953125</v>
      </c>
      <c r="K115" s="123">
        <f>(SUM('Rozpočet - vývoj Aplikácií'!$BQ$57:$BR$57)/32)</f>
        <v>7096.953125</v>
      </c>
      <c r="L115" s="123">
        <f>(SUM('Rozpočet - vývoj Aplikácií'!$BQ$57:$BR$57)/32)</f>
        <v>7096.953125</v>
      </c>
    </row>
    <row r="116" spans="1:12" outlineLevel="2" x14ac:dyDescent="0.35">
      <c r="A116" s="783"/>
      <c r="B116" s="784"/>
      <c r="C116" s="784"/>
      <c r="D116" s="69" t="s">
        <v>32</v>
      </c>
      <c r="E116" s="73">
        <f t="shared" si="27"/>
        <v>49678.671875</v>
      </c>
      <c r="F116" s="123">
        <f>(SUM('Rozpočet - vývoj Aplikácií'!$BQ$57:$BR$57)/32)</f>
        <v>7096.953125</v>
      </c>
      <c r="G116" s="123">
        <f>(SUM('Rozpočet - vývoj Aplikácií'!$BQ$57:$BR$57)/32)</f>
        <v>7096.953125</v>
      </c>
      <c r="H116" s="123">
        <f>(SUM('Rozpočet - vývoj Aplikácií'!$BQ$57:$BR$57)/32)</f>
        <v>7096.953125</v>
      </c>
      <c r="I116" s="123">
        <f>(SUM('Rozpočet - vývoj Aplikácií'!$BQ$57:$BR$57)/32)</f>
        <v>7096.953125</v>
      </c>
      <c r="J116" s="123">
        <f>(SUM('Rozpočet - vývoj Aplikácií'!$BQ$57:$BR$57)/32)</f>
        <v>7096.953125</v>
      </c>
      <c r="K116" s="123">
        <f>(SUM('Rozpočet - vývoj Aplikácií'!$BQ$57:$BR$57)/32)</f>
        <v>7096.953125</v>
      </c>
      <c r="L116" s="123">
        <f>(SUM('Rozpočet - vývoj Aplikácií'!$BQ$57:$BR$57)/32)</f>
        <v>7096.953125</v>
      </c>
    </row>
    <row r="117" spans="1:12" outlineLevel="2" x14ac:dyDescent="0.35">
      <c r="A117" s="783"/>
      <c r="B117" s="784"/>
      <c r="C117" s="784"/>
      <c r="D117" s="69" t="s">
        <v>33</v>
      </c>
      <c r="E117" s="73">
        <f t="shared" si="27"/>
        <v>49678.671875</v>
      </c>
      <c r="F117" s="123">
        <f>(SUM('Rozpočet - vývoj Aplikácií'!$BQ$57:$BR$57)/32)</f>
        <v>7096.953125</v>
      </c>
      <c r="G117" s="123">
        <f>(SUM('Rozpočet - vývoj Aplikácií'!$BQ$57:$BR$57)/32)</f>
        <v>7096.953125</v>
      </c>
      <c r="H117" s="123">
        <f>(SUM('Rozpočet - vývoj Aplikácií'!$BQ$57:$BR$57)/32)</f>
        <v>7096.953125</v>
      </c>
      <c r="I117" s="123">
        <f>(SUM('Rozpočet - vývoj Aplikácií'!$BQ$57:$BR$57)/32)</f>
        <v>7096.953125</v>
      </c>
      <c r="J117" s="123">
        <f>(SUM('Rozpočet - vývoj Aplikácií'!$BQ$57:$BR$57)/32)</f>
        <v>7096.953125</v>
      </c>
      <c r="K117" s="123">
        <f>(SUM('Rozpočet - vývoj Aplikácií'!$BQ$57:$BR$57)/32)</f>
        <v>7096.953125</v>
      </c>
      <c r="L117" s="123">
        <f>(SUM('Rozpočet - vývoj Aplikácií'!$BQ$57:$BR$57)/32)</f>
        <v>7096.953125</v>
      </c>
    </row>
    <row r="118" spans="1:12" ht="15" outlineLevel="2" thickBot="1" x14ac:dyDescent="0.4">
      <c r="A118" s="783"/>
      <c r="B118" s="784"/>
      <c r="C118" s="784"/>
      <c r="D118" s="70" t="s">
        <v>34</v>
      </c>
      <c r="E118" s="74">
        <f t="shared" si="27"/>
        <v>49678.671875</v>
      </c>
      <c r="F118" s="123">
        <f>(SUM('Rozpočet - vývoj Aplikácií'!$BQ$57:$BR$57)/32)</f>
        <v>7096.953125</v>
      </c>
      <c r="G118" s="123">
        <f>(SUM('Rozpočet - vývoj Aplikácií'!$BQ$57:$BR$57)/32)</f>
        <v>7096.953125</v>
      </c>
      <c r="H118" s="123">
        <f>(SUM('Rozpočet - vývoj Aplikácií'!$BQ$57:$BR$57)/32)</f>
        <v>7096.953125</v>
      </c>
      <c r="I118" s="123">
        <f>(SUM('Rozpočet - vývoj Aplikácií'!$BQ$57:$BR$57)/32)</f>
        <v>7096.953125</v>
      </c>
      <c r="J118" s="123">
        <f>(SUM('Rozpočet - vývoj Aplikácií'!$BQ$57:$BR$57)/32)</f>
        <v>7096.953125</v>
      </c>
      <c r="K118" s="123">
        <f>(SUM('Rozpočet - vývoj Aplikácií'!$BQ$57:$BR$57)/32)</f>
        <v>7096.953125</v>
      </c>
      <c r="L118" s="123">
        <f>(SUM('Rozpočet - vývoj Aplikácií'!$BQ$57:$BR$57)/32)</f>
        <v>7096.953125</v>
      </c>
    </row>
    <row r="119" spans="1:12" outlineLevel="2" x14ac:dyDescent="0.35">
      <c r="A119" s="783" t="s">
        <v>79</v>
      </c>
      <c r="B119" s="784" t="s">
        <v>80</v>
      </c>
      <c r="C119" s="784">
        <v>637001</v>
      </c>
      <c r="D119" s="68" t="s">
        <v>25</v>
      </c>
      <c r="E119" s="73">
        <f t="shared" si="27"/>
        <v>0</v>
      </c>
      <c r="F119" s="120">
        <v>0</v>
      </c>
      <c r="G119" s="121">
        <v>0</v>
      </c>
      <c r="H119" s="303">
        <v>0</v>
      </c>
      <c r="I119" s="303">
        <v>0</v>
      </c>
      <c r="J119" s="303">
        <v>0</v>
      </c>
      <c r="K119" s="303">
        <v>0</v>
      </c>
      <c r="L119" s="122">
        <v>0</v>
      </c>
    </row>
    <row r="120" spans="1:12" outlineLevel="2" x14ac:dyDescent="0.35">
      <c r="A120" s="783"/>
      <c r="B120" s="784"/>
      <c r="C120" s="784"/>
      <c r="D120" s="69" t="s">
        <v>26</v>
      </c>
      <c r="E120" s="73">
        <f t="shared" si="27"/>
        <v>0</v>
      </c>
      <c r="F120" s="123">
        <v>0</v>
      </c>
      <c r="G120" s="124">
        <v>0</v>
      </c>
      <c r="H120" s="304">
        <v>0</v>
      </c>
      <c r="I120" s="304">
        <v>0</v>
      </c>
      <c r="J120" s="304">
        <v>0</v>
      </c>
      <c r="K120" s="304">
        <v>0</v>
      </c>
      <c r="L120" s="125">
        <v>0</v>
      </c>
    </row>
    <row r="121" spans="1:12" outlineLevel="2" x14ac:dyDescent="0.35">
      <c r="A121" s="783"/>
      <c r="B121" s="784"/>
      <c r="C121" s="784"/>
      <c r="D121" s="69" t="s">
        <v>27</v>
      </c>
      <c r="E121" s="73">
        <f t="shared" si="27"/>
        <v>0</v>
      </c>
      <c r="F121" s="123">
        <v>0</v>
      </c>
      <c r="G121" s="124">
        <v>0</v>
      </c>
      <c r="H121" s="304">
        <v>0</v>
      </c>
      <c r="I121" s="304">
        <v>0</v>
      </c>
      <c r="J121" s="304">
        <v>0</v>
      </c>
      <c r="K121" s="304">
        <v>0</v>
      </c>
      <c r="L121" s="125">
        <v>0</v>
      </c>
    </row>
    <row r="122" spans="1:12" outlineLevel="2" x14ac:dyDescent="0.35">
      <c r="A122" s="783"/>
      <c r="B122" s="784"/>
      <c r="C122" s="784"/>
      <c r="D122" s="69" t="s">
        <v>28</v>
      </c>
      <c r="E122" s="73">
        <f t="shared" si="27"/>
        <v>0</v>
      </c>
      <c r="F122" s="123">
        <v>0</v>
      </c>
      <c r="G122" s="124">
        <v>0</v>
      </c>
      <c r="H122" s="304">
        <v>0</v>
      </c>
      <c r="I122" s="304">
        <v>0</v>
      </c>
      <c r="J122" s="304">
        <v>0</v>
      </c>
      <c r="K122" s="304">
        <v>0</v>
      </c>
      <c r="L122" s="125">
        <v>0</v>
      </c>
    </row>
    <row r="123" spans="1:12" outlineLevel="2" x14ac:dyDescent="0.35">
      <c r="A123" s="783"/>
      <c r="B123" s="784"/>
      <c r="C123" s="784"/>
      <c r="D123" s="69" t="s">
        <v>29</v>
      </c>
      <c r="E123" s="73">
        <f t="shared" si="27"/>
        <v>0</v>
      </c>
      <c r="F123" s="123">
        <v>0</v>
      </c>
      <c r="G123" s="124">
        <v>0</v>
      </c>
      <c r="H123" s="304">
        <v>0</v>
      </c>
      <c r="I123" s="304">
        <v>0</v>
      </c>
      <c r="J123" s="304">
        <v>0</v>
      </c>
      <c r="K123" s="304">
        <v>0</v>
      </c>
      <c r="L123" s="125">
        <v>0</v>
      </c>
    </row>
    <row r="124" spans="1:12" outlineLevel="2" x14ac:dyDescent="0.35">
      <c r="A124" s="783"/>
      <c r="B124" s="784"/>
      <c r="C124" s="784"/>
      <c r="D124" s="69" t="s">
        <v>30</v>
      </c>
      <c r="E124" s="73">
        <f t="shared" si="27"/>
        <v>0</v>
      </c>
      <c r="F124" s="123">
        <v>0</v>
      </c>
      <c r="G124" s="124">
        <v>0</v>
      </c>
      <c r="H124" s="304">
        <v>0</v>
      </c>
      <c r="I124" s="304">
        <v>0</v>
      </c>
      <c r="J124" s="304">
        <v>0</v>
      </c>
      <c r="K124" s="304">
        <v>0</v>
      </c>
      <c r="L124" s="125">
        <v>0</v>
      </c>
    </row>
    <row r="125" spans="1:12" outlineLevel="2" x14ac:dyDescent="0.35">
      <c r="A125" s="783"/>
      <c r="B125" s="784"/>
      <c r="C125" s="784"/>
      <c r="D125" s="69" t="s">
        <v>31</v>
      </c>
      <c r="E125" s="73">
        <f t="shared" si="27"/>
        <v>0</v>
      </c>
      <c r="F125" s="123">
        <v>0</v>
      </c>
      <c r="G125" s="124">
        <v>0</v>
      </c>
      <c r="H125" s="304">
        <v>0</v>
      </c>
      <c r="I125" s="304">
        <v>0</v>
      </c>
      <c r="J125" s="304">
        <v>0</v>
      </c>
      <c r="K125" s="304">
        <v>0</v>
      </c>
      <c r="L125" s="125">
        <v>0</v>
      </c>
    </row>
    <row r="126" spans="1:12" outlineLevel="2" x14ac:dyDescent="0.35">
      <c r="A126" s="783"/>
      <c r="B126" s="784"/>
      <c r="C126" s="784"/>
      <c r="D126" s="69" t="s">
        <v>32</v>
      </c>
      <c r="E126" s="73">
        <f t="shared" si="27"/>
        <v>0</v>
      </c>
      <c r="F126" s="123">
        <v>0</v>
      </c>
      <c r="G126" s="124">
        <v>0</v>
      </c>
      <c r="H126" s="304">
        <v>0</v>
      </c>
      <c r="I126" s="304">
        <v>0</v>
      </c>
      <c r="J126" s="304">
        <v>0</v>
      </c>
      <c r="K126" s="304">
        <v>0</v>
      </c>
      <c r="L126" s="125">
        <v>0</v>
      </c>
    </row>
    <row r="127" spans="1:12" outlineLevel="2" x14ac:dyDescent="0.35">
      <c r="A127" s="783"/>
      <c r="B127" s="784"/>
      <c r="C127" s="784"/>
      <c r="D127" s="69" t="s">
        <v>33</v>
      </c>
      <c r="E127" s="73">
        <f t="shared" si="27"/>
        <v>0</v>
      </c>
      <c r="F127" s="123">
        <v>0</v>
      </c>
      <c r="G127" s="124">
        <v>0</v>
      </c>
      <c r="H127" s="304">
        <v>0</v>
      </c>
      <c r="I127" s="304">
        <v>0</v>
      </c>
      <c r="J127" s="304">
        <v>0</v>
      </c>
      <c r="K127" s="304">
        <v>0</v>
      </c>
      <c r="L127" s="125">
        <v>0</v>
      </c>
    </row>
    <row r="128" spans="1:12" ht="15" outlineLevel="2" thickBot="1" x14ac:dyDescent="0.4">
      <c r="A128" s="783"/>
      <c r="B128" s="784"/>
      <c r="C128" s="784"/>
      <c r="D128" s="70" t="s">
        <v>34</v>
      </c>
      <c r="E128" s="74">
        <f t="shared" si="27"/>
        <v>0</v>
      </c>
      <c r="F128" s="126">
        <v>0</v>
      </c>
      <c r="G128" s="127">
        <v>0</v>
      </c>
      <c r="H128" s="305">
        <v>0</v>
      </c>
      <c r="I128" s="305">
        <v>0</v>
      </c>
      <c r="J128" s="305">
        <v>0</v>
      </c>
      <c r="K128" s="305">
        <v>0</v>
      </c>
      <c r="L128" s="128">
        <v>0</v>
      </c>
    </row>
    <row r="129" spans="1:12" ht="15" thickBot="1" x14ac:dyDescent="0.4">
      <c r="A129" s="17" t="s">
        <v>320</v>
      </c>
      <c r="B129" s="17"/>
      <c r="C129" s="17"/>
      <c r="D129" s="28"/>
      <c r="E129" s="140">
        <f t="shared" ref="E129:L129" si="28">SUM(E130:E149)</f>
        <v>164492.04999999999</v>
      </c>
      <c r="F129" s="141">
        <f t="shared" si="28"/>
        <v>23498.864285714284</v>
      </c>
      <c r="G129" s="141">
        <f t="shared" si="28"/>
        <v>23498.864285714284</v>
      </c>
      <c r="H129" s="307">
        <f t="shared" si="28"/>
        <v>23498.864285714284</v>
      </c>
      <c r="I129" s="307">
        <f t="shared" si="28"/>
        <v>23498.864285714284</v>
      </c>
      <c r="J129" s="307">
        <f t="shared" ref="J129:K129" si="29">SUM(J130:J149)</f>
        <v>23498.864285714284</v>
      </c>
      <c r="K129" s="307">
        <f t="shared" si="29"/>
        <v>23498.864285714284</v>
      </c>
      <c r="L129" s="142">
        <f t="shared" si="28"/>
        <v>23498.864285714284</v>
      </c>
    </row>
    <row r="130" spans="1:12" x14ac:dyDescent="0.35">
      <c r="A130" s="783" t="s">
        <v>321</v>
      </c>
      <c r="B130" s="784"/>
      <c r="C130" s="784"/>
      <c r="D130" s="68" t="s">
        <v>25</v>
      </c>
      <c r="E130" s="72">
        <f t="shared" ref="E130:E149" si="30">SUM(F130:L130)</f>
        <v>98695.229999999981</v>
      </c>
      <c r="F130" s="120">
        <f>98695.23/7</f>
        <v>14099.31857142857</v>
      </c>
      <c r="G130" s="120">
        <f t="shared" ref="G130:L130" si="31">98695.23/7</f>
        <v>14099.31857142857</v>
      </c>
      <c r="H130" s="120">
        <f t="shared" si="31"/>
        <v>14099.31857142857</v>
      </c>
      <c r="I130" s="120">
        <f t="shared" si="31"/>
        <v>14099.31857142857</v>
      </c>
      <c r="J130" s="120">
        <f t="shared" si="31"/>
        <v>14099.31857142857</v>
      </c>
      <c r="K130" s="120">
        <f t="shared" si="31"/>
        <v>14099.31857142857</v>
      </c>
      <c r="L130" s="120">
        <f t="shared" si="31"/>
        <v>14099.31857142857</v>
      </c>
    </row>
    <row r="131" spans="1:12" x14ac:dyDescent="0.35">
      <c r="A131" s="783"/>
      <c r="B131" s="784"/>
      <c r="C131" s="784"/>
      <c r="D131" s="69" t="s">
        <v>26</v>
      </c>
      <c r="E131" s="73">
        <f t="shared" si="30"/>
        <v>0</v>
      </c>
      <c r="F131" s="123">
        <v>0</v>
      </c>
      <c r="G131" s="124">
        <v>0</v>
      </c>
      <c r="H131" s="304">
        <v>0</v>
      </c>
      <c r="I131" s="304">
        <v>0</v>
      </c>
      <c r="J131" s="304">
        <v>0</v>
      </c>
      <c r="K131" s="304">
        <v>0</v>
      </c>
      <c r="L131" s="125">
        <v>0</v>
      </c>
    </row>
    <row r="132" spans="1:12" x14ac:dyDescent="0.35">
      <c r="A132" s="783"/>
      <c r="B132" s="784"/>
      <c r="C132" s="784"/>
      <c r="D132" s="69" t="s">
        <v>27</v>
      </c>
      <c r="E132" s="73">
        <f t="shared" si="30"/>
        <v>0</v>
      </c>
      <c r="F132" s="123">
        <v>0</v>
      </c>
      <c r="G132" s="124">
        <v>0</v>
      </c>
      <c r="H132" s="304">
        <v>0</v>
      </c>
      <c r="I132" s="304">
        <v>0</v>
      </c>
      <c r="J132" s="304">
        <v>0</v>
      </c>
      <c r="K132" s="304">
        <v>0</v>
      </c>
      <c r="L132" s="125">
        <v>0</v>
      </c>
    </row>
    <row r="133" spans="1:12" x14ac:dyDescent="0.35">
      <c r="A133" s="783"/>
      <c r="B133" s="784"/>
      <c r="C133" s="784"/>
      <c r="D133" s="69" t="s">
        <v>28</v>
      </c>
      <c r="E133" s="73">
        <f t="shared" si="30"/>
        <v>0</v>
      </c>
      <c r="F133" s="123">
        <v>0</v>
      </c>
      <c r="G133" s="124">
        <v>0</v>
      </c>
      <c r="H133" s="304">
        <v>0</v>
      </c>
      <c r="I133" s="304">
        <v>0</v>
      </c>
      <c r="J133" s="304">
        <v>0</v>
      </c>
      <c r="K133" s="304">
        <v>0</v>
      </c>
      <c r="L133" s="125">
        <v>0</v>
      </c>
    </row>
    <row r="134" spans="1:12" x14ac:dyDescent="0.35">
      <c r="A134" s="783"/>
      <c r="B134" s="784"/>
      <c r="C134" s="784"/>
      <c r="D134" s="69" t="s">
        <v>29</v>
      </c>
      <c r="E134" s="73">
        <f t="shared" si="30"/>
        <v>0</v>
      </c>
      <c r="F134" s="123">
        <v>0</v>
      </c>
      <c r="G134" s="124">
        <v>0</v>
      </c>
      <c r="H134" s="304">
        <v>0</v>
      </c>
      <c r="I134" s="304">
        <v>0</v>
      </c>
      <c r="J134" s="304">
        <v>0</v>
      </c>
      <c r="K134" s="304">
        <v>0</v>
      </c>
      <c r="L134" s="125">
        <v>0</v>
      </c>
    </row>
    <row r="135" spans="1:12" x14ac:dyDescent="0.35">
      <c r="A135" s="783"/>
      <c r="B135" s="784"/>
      <c r="C135" s="784"/>
      <c r="D135" s="69" t="s">
        <v>30</v>
      </c>
      <c r="E135" s="73">
        <f t="shared" si="30"/>
        <v>0</v>
      </c>
      <c r="F135" s="123">
        <v>0</v>
      </c>
      <c r="G135" s="124">
        <v>0</v>
      </c>
      <c r="H135" s="304">
        <v>0</v>
      </c>
      <c r="I135" s="304">
        <v>0</v>
      </c>
      <c r="J135" s="304">
        <v>0</v>
      </c>
      <c r="K135" s="304">
        <v>0</v>
      </c>
      <c r="L135" s="125">
        <v>0</v>
      </c>
    </row>
    <row r="136" spans="1:12" x14ac:dyDescent="0.35">
      <c r="A136" s="783"/>
      <c r="B136" s="784"/>
      <c r="C136" s="784"/>
      <c r="D136" s="69" t="s">
        <v>31</v>
      </c>
      <c r="E136" s="73">
        <f t="shared" si="30"/>
        <v>0</v>
      </c>
      <c r="F136" s="123">
        <v>0</v>
      </c>
      <c r="G136" s="124">
        <v>0</v>
      </c>
      <c r="H136" s="304">
        <v>0</v>
      </c>
      <c r="I136" s="304">
        <v>0</v>
      </c>
      <c r="J136" s="304">
        <v>0</v>
      </c>
      <c r="K136" s="304">
        <v>0</v>
      </c>
      <c r="L136" s="125">
        <v>0</v>
      </c>
    </row>
    <row r="137" spans="1:12" x14ac:dyDescent="0.35">
      <c r="A137" s="783"/>
      <c r="B137" s="784"/>
      <c r="C137" s="784"/>
      <c r="D137" s="69" t="s">
        <v>32</v>
      </c>
      <c r="E137" s="73">
        <f t="shared" si="30"/>
        <v>0</v>
      </c>
      <c r="F137" s="123">
        <v>0</v>
      </c>
      <c r="G137" s="124">
        <v>0</v>
      </c>
      <c r="H137" s="304">
        <v>0</v>
      </c>
      <c r="I137" s="304">
        <v>0</v>
      </c>
      <c r="J137" s="304">
        <v>0</v>
      </c>
      <c r="K137" s="304">
        <v>0</v>
      </c>
      <c r="L137" s="125">
        <v>0</v>
      </c>
    </row>
    <row r="138" spans="1:12" x14ac:dyDescent="0.35">
      <c r="A138" s="783"/>
      <c r="B138" s="784"/>
      <c r="C138" s="784"/>
      <c r="D138" s="69" t="s">
        <v>33</v>
      </c>
      <c r="E138" s="73">
        <f t="shared" si="30"/>
        <v>0</v>
      </c>
      <c r="F138" s="123">
        <v>0</v>
      </c>
      <c r="G138" s="124">
        <v>0</v>
      </c>
      <c r="H138" s="304">
        <v>0</v>
      </c>
      <c r="I138" s="304">
        <v>0</v>
      </c>
      <c r="J138" s="304">
        <v>0</v>
      </c>
      <c r="K138" s="304">
        <v>0</v>
      </c>
      <c r="L138" s="125">
        <v>0</v>
      </c>
    </row>
    <row r="139" spans="1:12" ht="15" thickBot="1" x14ac:dyDescent="0.4">
      <c r="A139" s="783"/>
      <c r="B139" s="784"/>
      <c r="C139" s="784"/>
      <c r="D139" s="70" t="s">
        <v>34</v>
      </c>
      <c r="E139" s="74">
        <f t="shared" si="30"/>
        <v>0</v>
      </c>
      <c r="F139" s="126">
        <v>0</v>
      </c>
      <c r="G139" s="127">
        <v>0</v>
      </c>
      <c r="H139" s="305">
        <v>0</v>
      </c>
      <c r="I139" s="305">
        <v>0</v>
      </c>
      <c r="J139" s="305">
        <v>0</v>
      </c>
      <c r="K139" s="305">
        <v>0</v>
      </c>
      <c r="L139" s="128">
        <v>0</v>
      </c>
    </row>
    <row r="140" spans="1:12" x14ac:dyDescent="0.35">
      <c r="A140" s="783" t="s">
        <v>155</v>
      </c>
      <c r="B140" s="784"/>
      <c r="C140" s="784" t="s">
        <v>347</v>
      </c>
      <c r="D140" s="68" t="s">
        <v>25</v>
      </c>
      <c r="E140" s="73">
        <f t="shared" si="30"/>
        <v>65796.820000000022</v>
      </c>
      <c r="F140" s="120">
        <f>65796.82/7</f>
        <v>9399.5457142857158</v>
      </c>
      <c r="G140" s="120">
        <f t="shared" ref="G140:L140" si="32">65796.82/7</f>
        <v>9399.5457142857158</v>
      </c>
      <c r="H140" s="120">
        <f t="shared" si="32"/>
        <v>9399.5457142857158</v>
      </c>
      <c r="I140" s="120">
        <f t="shared" si="32"/>
        <v>9399.5457142857158</v>
      </c>
      <c r="J140" s="120">
        <f t="shared" si="32"/>
        <v>9399.5457142857158</v>
      </c>
      <c r="K140" s="120">
        <f t="shared" si="32"/>
        <v>9399.5457142857158</v>
      </c>
      <c r="L140" s="120">
        <f t="shared" si="32"/>
        <v>9399.5457142857158</v>
      </c>
    </row>
    <row r="141" spans="1:12" x14ac:dyDescent="0.35">
      <c r="A141" s="783"/>
      <c r="B141" s="784"/>
      <c r="C141" s="784"/>
      <c r="D141" s="69" t="s">
        <v>26</v>
      </c>
      <c r="E141" s="73">
        <f t="shared" si="30"/>
        <v>0</v>
      </c>
      <c r="F141" s="123">
        <v>0</v>
      </c>
      <c r="G141" s="124">
        <v>0</v>
      </c>
      <c r="H141" s="304">
        <v>0</v>
      </c>
      <c r="I141" s="304">
        <v>0</v>
      </c>
      <c r="J141" s="304">
        <v>0</v>
      </c>
      <c r="K141" s="304">
        <v>0</v>
      </c>
      <c r="L141" s="125">
        <v>0</v>
      </c>
    </row>
    <row r="142" spans="1:12" x14ac:dyDescent="0.35">
      <c r="A142" s="783"/>
      <c r="B142" s="784"/>
      <c r="C142" s="784"/>
      <c r="D142" s="69" t="s">
        <v>27</v>
      </c>
      <c r="E142" s="73">
        <f t="shared" si="30"/>
        <v>0</v>
      </c>
      <c r="F142" s="123">
        <v>0</v>
      </c>
      <c r="G142" s="124">
        <v>0</v>
      </c>
      <c r="H142" s="304">
        <v>0</v>
      </c>
      <c r="I142" s="304">
        <v>0</v>
      </c>
      <c r="J142" s="304">
        <v>0</v>
      </c>
      <c r="K142" s="304">
        <v>0</v>
      </c>
      <c r="L142" s="125">
        <v>0</v>
      </c>
    </row>
    <row r="143" spans="1:12" x14ac:dyDescent="0.35">
      <c r="A143" s="783"/>
      <c r="B143" s="784"/>
      <c r="C143" s="784"/>
      <c r="D143" s="69" t="s">
        <v>28</v>
      </c>
      <c r="E143" s="73">
        <f t="shared" si="30"/>
        <v>0</v>
      </c>
      <c r="F143" s="123">
        <v>0</v>
      </c>
      <c r="G143" s="124">
        <v>0</v>
      </c>
      <c r="H143" s="304">
        <v>0</v>
      </c>
      <c r="I143" s="304">
        <v>0</v>
      </c>
      <c r="J143" s="304">
        <v>0</v>
      </c>
      <c r="K143" s="304">
        <v>0</v>
      </c>
      <c r="L143" s="125">
        <v>0</v>
      </c>
    </row>
    <row r="144" spans="1:12" x14ac:dyDescent="0.35">
      <c r="A144" s="783"/>
      <c r="B144" s="784"/>
      <c r="C144" s="784"/>
      <c r="D144" s="69" t="s">
        <v>29</v>
      </c>
      <c r="E144" s="73">
        <f t="shared" si="30"/>
        <v>0</v>
      </c>
      <c r="F144" s="123">
        <v>0</v>
      </c>
      <c r="G144" s="124">
        <v>0</v>
      </c>
      <c r="H144" s="304">
        <v>0</v>
      </c>
      <c r="I144" s="304">
        <v>0</v>
      </c>
      <c r="J144" s="304">
        <v>0</v>
      </c>
      <c r="K144" s="304">
        <v>0</v>
      </c>
      <c r="L144" s="125">
        <v>0</v>
      </c>
    </row>
    <row r="145" spans="1:12" x14ac:dyDescent="0.35">
      <c r="A145" s="783"/>
      <c r="B145" s="784"/>
      <c r="C145" s="784"/>
      <c r="D145" s="69" t="s">
        <v>30</v>
      </c>
      <c r="E145" s="73">
        <f t="shared" si="30"/>
        <v>0</v>
      </c>
      <c r="F145" s="123">
        <v>0</v>
      </c>
      <c r="G145" s="124">
        <v>0</v>
      </c>
      <c r="H145" s="304">
        <v>0</v>
      </c>
      <c r="I145" s="304">
        <v>0</v>
      </c>
      <c r="J145" s="304">
        <v>0</v>
      </c>
      <c r="K145" s="304">
        <v>0</v>
      </c>
      <c r="L145" s="125">
        <v>0</v>
      </c>
    </row>
    <row r="146" spans="1:12" x14ac:dyDescent="0.35">
      <c r="A146" s="783"/>
      <c r="B146" s="784"/>
      <c r="C146" s="784"/>
      <c r="D146" s="69" t="s">
        <v>31</v>
      </c>
      <c r="E146" s="73">
        <f t="shared" si="30"/>
        <v>0</v>
      </c>
      <c r="F146" s="123">
        <v>0</v>
      </c>
      <c r="G146" s="124">
        <v>0</v>
      </c>
      <c r="H146" s="304">
        <v>0</v>
      </c>
      <c r="I146" s="304">
        <v>0</v>
      </c>
      <c r="J146" s="304">
        <v>0</v>
      </c>
      <c r="K146" s="304">
        <v>0</v>
      </c>
      <c r="L146" s="125">
        <v>0</v>
      </c>
    </row>
    <row r="147" spans="1:12" x14ac:dyDescent="0.35">
      <c r="A147" s="783"/>
      <c r="B147" s="784"/>
      <c r="C147" s="784"/>
      <c r="D147" s="69" t="s">
        <v>32</v>
      </c>
      <c r="E147" s="73">
        <f t="shared" si="30"/>
        <v>0</v>
      </c>
      <c r="F147" s="123">
        <v>0</v>
      </c>
      <c r="G147" s="124">
        <v>0</v>
      </c>
      <c r="H147" s="304">
        <v>0</v>
      </c>
      <c r="I147" s="304">
        <v>0</v>
      </c>
      <c r="J147" s="304">
        <v>0</v>
      </c>
      <c r="K147" s="304">
        <v>0</v>
      </c>
      <c r="L147" s="125">
        <v>0</v>
      </c>
    </row>
    <row r="148" spans="1:12" x14ac:dyDescent="0.35">
      <c r="A148" s="783"/>
      <c r="B148" s="784"/>
      <c r="C148" s="784"/>
      <c r="D148" s="69" t="s">
        <v>33</v>
      </c>
      <c r="E148" s="73">
        <f t="shared" si="30"/>
        <v>0</v>
      </c>
      <c r="F148" s="123">
        <v>0</v>
      </c>
      <c r="G148" s="124">
        <v>0</v>
      </c>
      <c r="H148" s="304">
        <v>0</v>
      </c>
      <c r="I148" s="304">
        <v>0</v>
      </c>
      <c r="J148" s="304">
        <v>0</v>
      </c>
      <c r="K148" s="304">
        <v>0</v>
      </c>
      <c r="L148" s="125">
        <v>0</v>
      </c>
    </row>
    <row r="149" spans="1:12" ht="15" thickBot="1" x14ac:dyDescent="0.4">
      <c r="A149" s="783"/>
      <c r="B149" s="784"/>
      <c r="C149" s="784"/>
      <c r="D149" s="70" t="s">
        <v>34</v>
      </c>
      <c r="E149" s="74">
        <f t="shared" si="30"/>
        <v>0</v>
      </c>
      <c r="F149" s="126">
        <v>0</v>
      </c>
      <c r="G149" s="127">
        <v>0</v>
      </c>
      <c r="H149" s="305">
        <v>0</v>
      </c>
      <c r="I149" s="305">
        <v>0</v>
      </c>
      <c r="J149" s="305">
        <v>0</v>
      </c>
      <c r="K149" s="305">
        <v>0</v>
      </c>
      <c r="L149" s="128">
        <v>0</v>
      </c>
    </row>
    <row r="150" spans="1:12" ht="15" thickBot="1" x14ac:dyDescent="0.4">
      <c r="A150" s="787" t="s">
        <v>348</v>
      </c>
      <c r="B150" s="788"/>
      <c r="C150" s="788"/>
      <c r="D150" s="82"/>
      <c r="E150" s="78">
        <f t="shared" ref="E150:L150" si="33">SUM(E151:E170)</f>
        <v>0</v>
      </c>
      <c r="F150" s="79">
        <f t="shared" si="33"/>
        <v>0</v>
      </c>
      <c r="G150" s="79">
        <f t="shared" si="33"/>
        <v>0</v>
      </c>
      <c r="H150" s="298">
        <f t="shared" si="33"/>
        <v>0</v>
      </c>
      <c r="I150" s="298">
        <f t="shared" si="33"/>
        <v>0</v>
      </c>
      <c r="J150" s="298">
        <f t="shared" ref="J150:K150" si="34">SUM(J151:J170)</f>
        <v>0</v>
      </c>
      <c r="K150" s="298">
        <f t="shared" si="34"/>
        <v>0</v>
      </c>
      <c r="L150" s="80">
        <f t="shared" si="33"/>
        <v>0</v>
      </c>
    </row>
    <row r="151" spans="1:12" x14ac:dyDescent="0.35">
      <c r="A151" s="783" t="s">
        <v>350</v>
      </c>
      <c r="B151" s="784" t="s">
        <v>80</v>
      </c>
      <c r="C151" s="784">
        <v>633013</v>
      </c>
      <c r="D151" s="68" t="s">
        <v>25</v>
      </c>
      <c r="E151" s="65">
        <f t="shared" ref="E151:E170" si="35">SUM(F151:L151)</f>
        <v>0</v>
      </c>
      <c r="F151" s="129">
        <v>0</v>
      </c>
      <c r="G151" s="130">
        <v>0</v>
      </c>
      <c r="H151" s="299">
        <v>0</v>
      </c>
      <c r="I151" s="299">
        <v>0</v>
      </c>
      <c r="J151" s="299">
        <v>0</v>
      </c>
      <c r="K151" s="299">
        <v>0</v>
      </c>
      <c r="L151" s="135">
        <v>0</v>
      </c>
    </row>
    <row r="152" spans="1:12" x14ac:dyDescent="0.35">
      <c r="A152" s="783"/>
      <c r="B152" s="784"/>
      <c r="C152" s="784"/>
      <c r="D152" s="69" t="s">
        <v>26</v>
      </c>
      <c r="E152" s="66">
        <f t="shared" si="35"/>
        <v>0</v>
      </c>
      <c r="F152" s="131">
        <v>0</v>
      </c>
      <c r="G152" s="132">
        <v>0</v>
      </c>
      <c r="H152" s="300">
        <v>0</v>
      </c>
      <c r="I152" s="300">
        <v>0</v>
      </c>
      <c r="J152" s="300">
        <v>0</v>
      </c>
      <c r="K152" s="300">
        <v>0</v>
      </c>
      <c r="L152" s="136">
        <v>0</v>
      </c>
    </row>
    <row r="153" spans="1:12" x14ac:dyDescent="0.35">
      <c r="A153" s="783"/>
      <c r="B153" s="784"/>
      <c r="C153" s="784"/>
      <c r="D153" s="69" t="s">
        <v>27</v>
      </c>
      <c r="E153" s="66">
        <f t="shared" si="35"/>
        <v>0</v>
      </c>
      <c r="F153" s="131">
        <v>0</v>
      </c>
      <c r="G153" s="132">
        <v>0</v>
      </c>
      <c r="H153" s="300">
        <v>0</v>
      </c>
      <c r="I153" s="300">
        <v>0</v>
      </c>
      <c r="J153" s="300">
        <v>0</v>
      </c>
      <c r="K153" s="300">
        <v>0</v>
      </c>
      <c r="L153" s="136">
        <v>0</v>
      </c>
    </row>
    <row r="154" spans="1:12" x14ac:dyDescent="0.35">
      <c r="A154" s="783"/>
      <c r="B154" s="784"/>
      <c r="C154" s="784"/>
      <c r="D154" s="69" t="s">
        <v>28</v>
      </c>
      <c r="E154" s="66">
        <f t="shared" si="35"/>
        <v>0</v>
      </c>
      <c r="F154" s="131">
        <v>0</v>
      </c>
      <c r="G154" s="132">
        <v>0</v>
      </c>
      <c r="H154" s="300">
        <v>0</v>
      </c>
      <c r="I154" s="300">
        <v>0</v>
      </c>
      <c r="J154" s="300">
        <v>0</v>
      </c>
      <c r="K154" s="300">
        <v>0</v>
      </c>
      <c r="L154" s="136">
        <v>0</v>
      </c>
    </row>
    <row r="155" spans="1:12" x14ac:dyDescent="0.35">
      <c r="A155" s="783"/>
      <c r="B155" s="784"/>
      <c r="C155" s="784"/>
      <c r="D155" s="69" t="s">
        <v>29</v>
      </c>
      <c r="E155" s="66">
        <f t="shared" si="35"/>
        <v>0</v>
      </c>
      <c r="F155" s="131">
        <v>0</v>
      </c>
      <c r="G155" s="132">
        <v>0</v>
      </c>
      <c r="H155" s="300">
        <v>0</v>
      </c>
      <c r="I155" s="300">
        <v>0</v>
      </c>
      <c r="J155" s="300">
        <v>0</v>
      </c>
      <c r="K155" s="300">
        <v>0</v>
      </c>
      <c r="L155" s="136">
        <v>0</v>
      </c>
    </row>
    <row r="156" spans="1:12" x14ac:dyDescent="0.35">
      <c r="A156" s="783"/>
      <c r="B156" s="784"/>
      <c r="C156" s="784"/>
      <c r="D156" s="69" t="s">
        <v>30</v>
      </c>
      <c r="E156" s="66">
        <f t="shared" si="35"/>
        <v>0</v>
      </c>
      <c r="F156" s="131">
        <v>0</v>
      </c>
      <c r="G156" s="132">
        <v>0</v>
      </c>
      <c r="H156" s="300">
        <v>0</v>
      </c>
      <c r="I156" s="300">
        <v>0</v>
      </c>
      <c r="J156" s="300">
        <v>0</v>
      </c>
      <c r="K156" s="300">
        <v>0</v>
      </c>
      <c r="L156" s="136">
        <v>0</v>
      </c>
    </row>
    <row r="157" spans="1:12" x14ac:dyDescent="0.35">
      <c r="A157" s="783"/>
      <c r="B157" s="784"/>
      <c r="C157" s="784"/>
      <c r="D157" s="69" t="s">
        <v>31</v>
      </c>
      <c r="E157" s="66">
        <f t="shared" si="35"/>
        <v>0</v>
      </c>
      <c r="F157" s="131">
        <v>0</v>
      </c>
      <c r="G157" s="132">
        <v>0</v>
      </c>
      <c r="H157" s="300">
        <v>0</v>
      </c>
      <c r="I157" s="300">
        <v>0</v>
      </c>
      <c r="J157" s="300">
        <v>0</v>
      </c>
      <c r="K157" s="300">
        <v>0</v>
      </c>
      <c r="L157" s="136">
        <v>0</v>
      </c>
    </row>
    <row r="158" spans="1:12" x14ac:dyDescent="0.35">
      <c r="A158" s="783"/>
      <c r="B158" s="784"/>
      <c r="C158" s="784"/>
      <c r="D158" s="69" t="s">
        <v>32</v>
      </c>
      <c r="E158" s="66">
        <f t="shared" si="35"/>
        <v>0</v>
      </c>
      <c r="F158" s="131">
        <v>0</v>
      </c>
      <c r="G158" s="132">
        <v>0</v>
      </c>
      <c r="H158" s="300">
        <v>0</v>
      </c>
      <c r="I158" s="300">
        <v>0</v>
      </c>
      <c r="J158" s="300">
        <v>0</v>
      </c>
      <c r="K158" s="300">
        <v>0</v>
      </c>
      <c r="L158" s="136">
        <v>0</v>
      </c>
    </row>
    <row r="159" spans="1:12" x14ac:dyDescent="0.35">
      <c r="A159" s="783"/>
      <c r="B159" s="784"/>
      <c r="C159" s="784"/>
      <c r="D159" s="69" t="s">
        <v>33</v>
      </c>
      <c r="E159" s="66">
        <f t="shared" si="35"/>
        <v>0</v>
      </c>
      <c r="F159" s="131">
        <v>0</v>
      </c>
      <c r="G159" s="132">
        <v>0</v>
      </c>
      <c r="H159" s="300">
        <v>0</v>
      </c>
      <c r="I159" s="300">
        <v>0</v>
      </c>
      <c r="J159" s="300">
        <v>0</v>
      </c>
      <c r="K159" s="300">
        <v>0</v>
      </c>
      <c r="L159" s="136">
        <v>0</v>
      </c>
    </row>
    <row r="160" spans="1:12" ht="15" thickBot="1" x14ac:dyDescent="0.4">
      <c r="A160" s="783"/>
      <c r="B160" s="784"/>
      <c r="C160" s="784"/>
      <c r="D160" s="70" t="s">
        <v>34</v>
      </c>
      <c r="E160" s="67">
        <f t="shared" si="35"/>
        <v>0</v>
      </c>
      <c r="F160" s="133">
        <v>0</v>
      </c>
      <c r="G160" s="134">
        <v>0</v>
      </c>
      <c r="H160" s="301">
        <v>0</v>
      </c>
      <c r="I160" s="301">
        <v>0</v>
      </c>
      <c r="J160" s="301">
        <v>0</v>
      </c>
      <c r="K160" s="301">
        <v>0</v>
      </c>
      <c r="L160" s="137">
        <v>0</v>
      </c>
    </row>
    <row r="161" spans="1:12" x14ac:dyDescent="0.35">
      <c r="A161" s="783" t="s">
        <v>349</v>
      </c>
      <c r="B161" s="784"/>
      <c r="C161" s="784">
        <v>637031</v>
      </c>
      <c r="D161" s="68" t="s">
        <v>25</v>
      </c>
      <c r="E161" s="66">
        <f t="shared" si="35"/>
        <v>0</v>
      </c>
      <c r="F161" s="129">
        <v>0</v>
      </c>
      <c r="G161" s="130">
        <v>0</v>
      </c>
      <c r="H161" s="299">
        <v>0</v>
      </c>
      <c r="I161" s="299">
        <v>0</v>
      </c>
      <c r="J161" s="299">
        <v>0</v>
      </c>
      <c r="K161" s="299">
        <v>0</v>
      </c>
      <c r="L161" s="135">
        <v>0</v>
      </c>
    </row>
    <row r="162" spans="1:12" x14ac:dyDescent="0.35">
      <c r="A162" s="783"/>
      <c r="B162" s="784"/>
      <c r="C162" s="784"/>
      <c r="D162" s="69" t="s">
        <v>26</v>
      </c>
      <c r="E162" s="66">
        <f t="shared" si="35"/>
        <v>0</v>
      </c>
      <c r="F162" s="131">
        <v>0</v>
      </c>
      <c r="G162" s="132">
        <v>0</v>
      </c>
      <c r="H162" s="300">
        <v>0</v>
      </c>
      <c r="I162" s="300">
        <v>0</v>
      </c>
      <c r="J162" s="300">
        <v>0</v>
      </c>
      <c r="K162" s="300">
        <v>0</v>
      </c>
      <c r="L162" s="136">
        <v>0</v>
      </c>
    </row>
    <row r="163" spans="1:12" x14ac:dyDescent="0.35">
      <c r="A163" s="783"/>
      <c r="B163" s="784"/>
      <c r="C163" s="784"/>
      <c r="D163" s="69" t="s">
        <v>27</v>
      </c>
      <c r="E163" s="66">
        <f t="shared" si="35"/>
        <v>0</v>
      </c>
      <c r="F163" s="131">
        <v>0</v>
      </c>
      <c r="G163" s="132">
        <v>0</v>
      </c>
      <c r="H163" s="300">
        <v>0</v>
      </c>
      <c r="I163" s="300">
        <v>0</v>
      </c>
      <c r="J163" s="300">
        <v>0</v>
      </c>
      <c r="K163" s="300">
        <v>0</v>
      </c>
      <c r="L163" s="136">
        <v>0</v>
      </c>
    </row>
    <row r="164" spans="1:12" x14ac:dyDescent="0.35">
      <c r="A164" s="783"/>
      <c r="B164" s="784"/>
      <c r="C164" s="784"/>
      <c r="D164" s="69" t="s">
        <v>28</v>
      </c>
      <c r="E164" s="66">
        <f t="shared" si="35"/>
        <v>0</v>
      </c>
      <c r="F164" s="131">
        <v>0</v>
      </c>
      <c r="G164" s="132">
        <v>0</v>
      </c>
      <c r="H164" s="300">
        <v>0</v>
      </c>
      <c r="I164" s="300">
        <v>0</v>
      </c>
      <c r="J164" s="300">
        <v>0</v>
      </c>
      <c r="K164" s="300">
        <v>0</v>
      </c>
      <c r="L164" s="136">
        <v>0</v>
      </c>
    </row>
    <row r="165" spans="1:12" x14ac:dyDescent="0.35">
      <c r="A165" s="783"/>
      <c r="B165" s="784"/>
      <c r="C165" s="784"/>
      <c r="D165" s="69" t="s">
        <v>29</v>
      </c>
      <c r="E165" s="66">
        <f t="shared" si="35"/>
        <v>0</v>
      </c>
      <c r="F165" s="131">
        <v>0</v>
      </c>
      <c r="G165" s="132">
        <v>0</v>
      </c>
      <c r="H165" s="300">
        <v>0</v>
      </c>
      <c r="I165" s="300">
        <v>0</v>
      </c>
      <c r="J165" s="300">
        <v>0</v>
      </c>
      <c r="K165" s="300">
        <v>0</v>
      </c>
      <c r="L165" s="136">
        <v>0</v>
      </c>
    </row>
    <row r="166" spans="1:12" x14ac:dyDescent="0.35">
      <c r="A166" s="783"/>
      <c r="B166" s="784"/>
      <c r="C166" s="784"/>
      <c r="D166" s="69" t="s">
        <v>30</v>
      </c>
      <c r="E166" s="66">
        <f t="shared" si="35"/>
        <v>0</v>
      </c>
      <c r="F166" s="131">
        <v>0</v>
      </c>
      <c r="G166" s="132">
        <v>0</v>
      </c>
      <c r="H166" s="300">
        <v>0</v>
      </c>
      <c r="I166" s="300">
        <v>0</v>
      </c>
      <c r="J166" s="300">
        <v>0</v>
      </c>
      <c r="K166" s="300">
        <v>0</v>
      </c>
      <c r="L166" s="136">
        <v>0</v>
      </c>
    </row>
    <row r="167" spans="1:12" x14ac:dyDescent="0.35">
      <c r="A167" s="783"/>
      <c r="B167" s="784"/>
      <c r="C167" s="784"/>
      <c r="D167" s="69" t="s">
        <v>31</v>
      </c>
      <c r="E167" s="66">
        <f t="shared" si="35"/>
        <v>0</v>
      </c>
      <c r="F167" s="131">
        <v>0</v>
      </c>
      <c r="G167" s="132">
        <v>0</v>
      </c>
      <c r="H167" s="300">
        <v>0</v>
      </c>
      <c r="I167" s="300">
        <v>0</v>
      </c>
      <c r="J167" s="300">
        <v>0</v>
      </c>
      <c r="K167" s="300">
        <v>0</v>
      </c>
      <c r="L167" s="136">
        <v>0</v>
      </c>
    </row>
    <row r="168" spans="1:12" x14ac:dyDescent="0.35">
      <c r="A168" s="783"/>
      <c r="B168" s="784"/>
      <c r="C168" s="784"/>
      <c r="D168" s="69" t="s">
        <v>32</v>
      </c>
      <c r="E168" s="66">
        <f t="shared" si="35"/>
        <v>0</v>
      </c>
      <c r="F168" s="131">
        <v>0</v>
      </c>
      <c r="G168" s="132">
        <v>0</v>
      </c>
      <c r="H168" s="300">
        <v>0</v>
      </c>
      <c r="I168" s="300">
        <v>0</v>
      </c>
      <c r="J168" s="300">
        <v>0</v>
      </c>
      <c r="K168" s="300">
        <v>0</v>
      </c>
      <c r="L168" s="136">
        <v>0</v>
      </c>
    </row>
    <row r="169" spans="1:12" x14ac:dyDescent="0.35">
      <c r="A169" s="783"/>
      <c r="B169" s="784"/>
      <c r="C169" s="784"/>
      <c r="D169" s="69" t="s">
        <v>33</v>
      </c>
      <c r="E169" s="66">
        <f t="shared" si="35"/>
        <v>0</v>
      </c>
      <c r="F169" s="131">
        <v>0</v>
      </c>
      <c r="G169" s="132">
        <v>0</v>
      </c>
      <c r="H169" s="300">
        <v>0</v>
      </c>
      <c r="I169" s="300">
        <v>0</v>
      </c>
      <c r="J169" s="300">
        <v>0</v>
      </c>
      <c r="K169" s="300">
        <v>0</v>
      </c>
      <c r="L169" s="136">
        <v>0</v>
      </c>
    </row>
    <row r="170" spans="1:12" ht="15" thickBot="1" x14ac:dyDescent="0.4">
      <c r="A170" s="783"/>
      <c r="B170" s="784"/>
      <c r="C170" s="784"/>
      <c r="D170" s="70" t="s">
        <v>34</v>
      </c>
      <c r="E170" s="67">
        <f t="shared" si="35"/>
        <v>0</v>
      </c>
      <c r="F170" s="133">
        <v>0</v>
      </c>
      <c r="G170" s="134">
        <v>0</v>
      </c>
      <c r="H170" s="301">
        <v>0</v>
      </c>
      <c r="I170" s="301">
        <v>0</v>
      </c>
      <c r="J170" s="301">
        <v>0</v>
      </c>
      <c r="K170" s="301">
        <v>0</v>
      </c>
      <c r="L170" s="137">
        <v>0</v>
      </c>
    </row>
  </sheetData>
  <mergeCells count="52">
    <mergeCell ref="A150:C150"/>
    <mergeCell ref="A151:A160"/>
    <mergeCell ref="B151:B160"/>
    <mergeCell ref="C151:C160"/>
    <mergeCell ref="A161:A170"/>
    <mergeCell ref="B161:B170"/>
    <mergeCell ref="C161:C170"/>
    <mergeCell ref="A36:A45"/>
    <mergeCell ref="B36:B45"/>
    <mergeCell ref="C36:C45"/>
    <mergeCell ref="A3:C3"/>
    <mergeCell ref="A46:A55"/>
    <mergeCell ref="B46:B55"/>
    <mergeCell ref="C46:C55"/>
    <mergeCell ref="A15:A24"/>
    <mergeCell ref="B15:B24"/>
    <mergeCell ref="C15:C24"/>
    <mergeCell ref="A26:A35"/>
    <mergeCell ref="B26:B35"/>
    <mergeCell ref="C26:C35"/>
    <mergeCell ref="C5:C14"/>
    <mergeCell ref="A5:A14"/>
    <mergeCell ref="B5:B14"/>
    <mergeCell ref="A56:C56"/>
    <mergeCell ref="A58:A67"/>
    <mergeCell ref="B58:B67"/>
    <mergeCell ref="C58:C67"/>
    <mergeCell ref="A68:A77"/>
    <mergeCell ref="B68:B77"/>
    <mergeCell ref="C68:C77"/>
    <mergeCell ref="A119:A128"/>
    <mergeCell ref="B119:B128"/>
    <mergeCell ref="C119:C128"/>
    <mergeCell ref="A1:D1"/>
    <mergeCell ref="A99:A108"/>
    <mergeCell ref="B99:B108"/>
    <mergeCell ref="C99:C108"/>
    <mergeCell ref="A109:A118"/>
    <mergeCell ref="B109:B118"/>
    <mergeCell ref="C109:C118"/>
    <mergeCell ref="A79:A88"/>
    <mergeCell ref="B79:B88"/>
    <mergeCell ref="C79:C88"/>
    <mergeCell ref="A89:A98"/>
    <mergeCell ref="B89:B98"/>
    <mergeCell ref="C89:C98"/>
    <mergeCell ref="A130:A139"/>
    <mergeCell ref="B130:B139"/>
    <mergeCell ref="C130:C139"/>
    <mergeCell ref="A140:A149"/>
    <mergeCell ref="B140:B149"/>
    <mergeCell ref="C140:C149"/>
  </mergeCells>
  <pageMargins left="0.7" right="0.7" top="0.75" bottom="0.75" header="0.3" footer="0.3"/>
  <pageSetup paperSize="9" scale="29" orientation="portrait" r:id="rId1"/>
  <ignoredErrors>
    <ignoredError sqref="E25"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CC"/>
    <outlinePr summaryBelow="0" summaryRight="0"/>
  </sheetPr>
  <dimension ref="A1:F84"/>
  <sheetViews>
    <sheetView view="pageBreakPreview" zoomScale="80" zoomScaleNormal="85" zoomScaleSheetLayoutView="80" workbookViewId="0">
      <selection activeCell="F36" sqref="F36"/>
    </sheetView>
  </sheetViews>
  <sheetFormatPr defaultColWidth="8.81640625" defaultRowHeight="14.5" outlineLevelRow="1" outlineLevelCol="1" x14ac:dyDescent="0.35"/>
  <cols>
    <col min="1" max="1" width="22.453125" customWidth="1"/>
    <col min="2" max="2" width="23.26953125" customWidth="1"/>
    <col min="3" max="3" width="22.453125" customWidth="1"/>
    <col min="5" max="5" width="17.81640625" customWidth="1"/>
    <col min="6" max="6" width="19.26953125" customWidth="1" outlineLevel="1"/>
  </cols>
  <sheetData>
    <row r="1" spans="1:6" ht="36" customHeight="1" thickBot="1" x14ac:dyDescent="0.55000000000000004">
      <c r="A1" s="785" t="s">
        <v>100</v>
      </c>
      <c r="B1" s="785"/>
      <c r="C1" s="785"/>
      <c r="D1" s="786"/>
      <c r="E1" s="71" t="s">
        <v>35</v>
      </c>
      <c r="F1" s="343" t="s">
        <v>369</v>
      </c>
    </row>
    <row r="2" spans="1:6" ht="15" thickBot="1" x14ac:dyDescent="0.4">
      <c r="A2" s="41" t="s">
        <v>0</v>
      </c>
      <c r="B2" s="76" t="s">
        <v>77</v>
      </c>
      <c r="C2" s="76" t="s">
        <v>76</v>
      </c>
      <c r="D2" s="76" t="s">
        <v>23</v>
      </c>
      <c r="E2" s="17"/>
      <c r="F2" s="17"/>
    </row>
    <row r="3" spans="1:6" ht="15" thickBot="1" x14ac:dyDescent="0.4">
      <c r="A3" s="792" t="s">
        <v>90</v>
      </c>
      <c r="B3" s="792"/>
      <c r="C3" s="792"/>
      <c r="D3" s="75"/>
      <c r="E3" s="78">
        <f t="shared" ref="E3:F3" si="0">SUM(E4:E33)</f>
        <v>700000</v>
      </c>
      <c r="F3" s="79">
        <f t="shared" si="0"/>
        <v>700000</v>
      </c>
    </row>
    <row r="4" spans="1:6" outlineLevel="1" x14ac:dyDescent="0.35">
      <c r="A4" s="783" t="s">
        <v>92</v>
      </c>
      <c r="B4" s="783" t="s">
        <v>95</v>
      </c>
      <c r="C4" s="784">
        <v>713002</v>
      </c>
      <c r="D4" s="68" t="s">
        <v>25</v>
      </c>
      <c r="E4" s="72">
        <f t="shared" ref="E4:E33" si="1">SUM(F4:F4)</f>
        <v>700000</v>
      </c>
      <c r="F4" s="120">
        <f>'Rozpočet - HW a licencie'!E20</f>
        <v>700000</v>
      </c>
    </row>
    <row r="5" spans="1:6" outlineLevel="1" x14ac:dyDescent="0.35">
      <c r="A5" s="783"/>
      <c r="B5" s="784"/>
      <c r="C5" s="784"/>
      <c r="D5" s="69" t="s">
        <v>26</v>
      </c>
      <c r="E5" s="73">
        <f t="shared" si="1"/>
        <v>0</v>
      </c>
      <c r="F5" s="123">
        <v>0</v>
      </c>
    </row>
    <row r="6" spans="1:6" outlineLevel="1" x14ac:dyDescent="0.35">
      <c r="A6" s="783"/>
      <c r="B6" s="784"/>
      <c r="C6" s="784"/>
      <c r="D6" s="69" t="s">
        <v>27</v>
      </c>
      <c r="E6" s="73">
        <f t="shared" si="1"/>
        <v>0</v>
      </c>
      <c r="F6" s="123">
        <v>0</v>
      </c>
    </row>
    <row r="7" spans="1:6" outlineLevel="1" x14ac:dyDescent="0.35">
      <c r="A7" s="783"/>
      <c r="B7" s="784"/>
      <c r="C7" s="784"/>
      <c r="D7" s="69" t="s">
        <v>28</v>
      </c>
      <c r="E7" s="73">
        <f t="shared" si="1"/>
        <v>0</v>
      </c>
      <c r="F7" s="123">
        <v>0</v>
      </c>
    </row>
    <row r="8" spans="1:6" outlineLevel="1" x14ac:dyDescent="0.35">
      <c r="A8" s="783"/>
      <c r="B8" s="784"/>
      <c r="C8" s="784"/>
      <c r="D8" s="69" t="s">
        <v>29</v>
      </c>
      <c r="E8" s="73">
        <f t="shared" si="1"/>
        <v>0</v>
      </c>
      <c r="F8" s="123">
        <v>0</v>
      </c>
    </row>
    <row r="9" spans="1:6" outlineLevel="1" x14ac:dyDescent="0.35">
      <c r="A9" s="783"/>
      <c r="B9" s="784"/>
      <c r="C9" s="784"/>
      <c r="D9" s="69" t="s">
        <v>30</v>
      </c>
      <c r="E9" s="73">
        <f t="shared" si="1"/>
        <v>0</v>
      </c>
      <c r="F9" s="123">
        <v>0</v>
      </c>
    </row>
    <row r="10" spans="1:6" outlineLevel="1" x14ac:dyDescent="0.35">
      <c r="A10" s="783"/>
      <c r="B10" s="784"/>
      <c r="C10" s="784"/>
      <c r="D10" s="69" t="s">
        <v>31</v>
      </c>
      <c r="E10" s="73">
        <f t="shared" si="1"/>
        <v>0</v>
      </c>
      <c r="F10" s="123">
        <v>0</v>
      </c>
    </row>
    <row r="11" spans="1:6" outlineLevel="1" x14ac:dyDescent="0.35">
      <c r="A11" s="783"/>
      <c r="B11" s="784"/>
      <c r="C11" s="784"/>
      <c r="D11" s="69" t="s">
        <v>32</v>
      </c>
      <c r="E11" s="73">
        <f t="shared" si="1"/>
        <v>0</v>
      </c>
      <c r="F11" s="123">
        <v>0</v>
      </c>
    </row>
    <row r="12" spans="1:6" outlineLevel="1" x14ac:dyDescent="0.35">
      <c r="A12" s="783"/>
      <c r="B12" s="784"/>
      <c r="C12" s="784"/>
      <c r="D12" s="69" t="s">
        <v>33</v>
      </c>
      <c r="E12" s="73">
        <f t="shared" si="1"/>
        <v>0</v>
      </c>
      <c r="F12" s="123">
        <v>0</v>
      </c>
    </row>
    <row r="13" spans="1:6" ht="15" outlineLevel="1" thickBot="1" x14ac:dyDescent="0.4">
      <c r="A13" s="783"/>
      <c r="B13" s="784"/>
      <c r="C13" s="784"/>
      <c r="D13" s="70" t="s">
        <v>34</v>
      </c>
      <c r="E13" s="74">
        <f t="shared" si="1"/>
        <v>0</v>
      </c>
      <c r="F13" s="126">
        <v>0</v>
      </c>
    </row>
    <row r="14" spans="1:6" ht="15" customHeight="1" outlineLevel="1" x14ac:dyDescent="0.35">
      <c r="A14" s="783" t="s">
        <v>93</v>
      </c>
      <c r="B14" s="783" t="s">
        <v>117</v>
      </c>
      <c r="C14" s="784">
        <v>633002</v>
      </c>
      <c r="D14" s="68" t="s">
        <v>25</v>
      </c>
      <c r="E14" s="73">
        <f t="shared" si="1"/>
        <v>0</v>
      </c>
      <c r="F14" s="120">
        <v>0</v>
      </c>
    </row>
    <row r="15" spans="1:6" outlineLevel="1" x14ac:dyDescent="0.35">
      <c r="A15" s="783"/>
      <c r="B15" s="784"/>
      <c r="C15" s="784"/>
      <c r="D15" s="69" t="s">
        <v>26</v>
      </c>
      <c r="E15" s="73">
        <f t="shared" si="1"/>
        <v>0</v>
      </c>
      <c r="F15" s="123">
        <v>0</v>
      </c>
    </row>
    <row r="16" spans="1:6" outlineLevel="1" x14ac:dyDescent="0.35">
      <c r="A16" s="783"/>
      <c r="B16" s="784"/>
      <c r="C16" s="784"/>
      <c r="D16" s="69" t="s">
        <v>27</v>
      </c>
      <c r="E16" s="73">
        <f t="shared" si="1"/>
        <v>0</v>
      </c>
      <c r="F16" s="123">
        <v>0</v>
      </c>
    </row>
    <row r="17" spans="1:6" outlineLevel="1" x14ac:dyDescent="0.35">
      <c r="A17" s="783"/>
      <c r="B17" s="784"/>
      <c r="C17" s="784"/>
      <c r="D17" s="69" t="s">
        <v>28</v>
      </c>
      <c r="E17" s="73">
        <f t="shared" si="1"/>
        <v>0</v>
      </c>
      <c r="F17" s="123">
        <v>0</v>
      </c>
    </row>
    <row r="18" spans="1:6" outlineLevel="1" x14ac:dyDescent="0.35">
      <c r="A18" s="783"/>
      <c r="B18" s="784"/>
      <c r="C18" s="784"/>
      <c r="D18" s="69" t="s">
        <v>29</v>
      </c>
      <c r="E18" s="73">
        <f t="shared" si="1"/>
        <v>0</v>
      </c>
      <c r="F18" s="123">
        <v>0</v>
      </c>
    </row>
    <row r="19" spans="1:6" outlineLevel="1" x14ac:dyDescent="0.35">
      <c r="A19" s="783"/>
      <c r="B19" s="784"/>
      <c r="C19" s="784"/>
      <c r="D19" s="69" t="s">
        <v>30</v>
      </c>
      <c r="E19" s="73">
        <f t="shared" si="1"/>
        <v>0</v>
      </c>
      <c r="F19" s="123">
        <v>0</v>
      </c>
    </row>
    <row r="20" spans="1:6" outlineLevel="1" x14ac:dyDescent="0.35">
      <c r="A20" s="783"/>
      <c r="B20" s="784"/>
      <c r="C20" s="784"/>
      <c r="D20" s="69" t="s">
        <v>31</v>
      </c>
      <c r="E20" s="73">
        <f t="shared" si="1"/>
        <v>0</v>
      </c>
      <c r="F20" s="123">
        <v>0</v>
      </c>
    </row>
    <row r="21" spans="1:6" outlineLevel="1" x14ac:dyDescent="0.35">
      <c r="A21" s="783"/>
      <c r="B21" s="784"/>
      <c r="C21" s="784"/>
      <c r="D21" s="69" t="s">
        <v>32</v>
      </c>
      <c r="E21" s="73">
        <f t="shared" si="1"/>
        <v>0</v>
      </c>
      <c r="F21" s="123">
        <v>0</v>
      </c>
    </row>
    <row r="22" spans="1:6" outlineLevel="1" x14ac:dyDescent="0.35">
      <c r="A22" s="783"/>
      <c r="B22" s="784"/>
      <c r="C22" s="784"/>
      <c r="D22" s="69" t="s">
        <v>33</v>
      </c>
      <c r="E22" s="73">
        <f t="shared" si="1"/>
        <v>0</v>
      </c>
      <c r="F22" s="123">
        <v>0</v>
      </c>
    </row>
    <row r="23" spans="1:6" ht="15" outlineLevel="1" thickBot="1" x14ac:dyDescent="0.4">
      <c r="A23" s="783"/>
      <c r="B23" s="784"/>
      <c r="C23" s="784"/>
      <c r="D23" s="70" t="s">
        <v>34</v>
      </c>
      <c r="E23" s="74">
        <f t="shared" si="1"/>
        <v>0</v>
      </c>
      <c r="F23" s="126">
        <v>0</v>
      </c>
    </row>
    <row r="24" spans="1:6" outlineLevel="1" x14ac:dyDescent="0.35">
      <c r="A24" s="783" t="s">
        <v>94</v>
      </c>
      <c r="B24" s="784" t="s">
        <v>80</v>
      </c>
      <c r="C24" s="784">
        <v>637001</v>
      </c>
      <c r="D24" s="68" t="s">
        <v>25</v>
      </c>
      <c r="E24" s="73">
        <f t="shared" si="1"/>
        <v>0</v>
      </c>
      <c r="F24" s="120">
        <v>0</v>
      </c>
    </row>
    <row r="25" spans="1:6" outlineLevel="1" x14ac:dyDescent="0.35">
      <c r="A25" s="783"/>
      <c r="B25" s="784"/>
      <c r="C25" s="784"/>
      <c r="D25" s="69" t="s">
        <v>26</v>
      </c>
      <c r="E25" s="73">
        <f t="shared" si="1"/>
        <v>0</v>
      </c>
      <c r="F25" s="123">
        <v>0</v>
      </c>
    </row>
    <row r="26" spans="1:6" outlineLevel="1" x14ac:dyDescent="0.35">
      <c r="A26" s="783"/>
      <c r="B26" s="784"/>
      <c r="C26" s="784"/>
      <c r="D26" s="69" t="s">
        <v>27</v>
      </c>
      <c r="E26" s="73">
        <f t="shared" si="1"/>
        <v>0</v>
      </c>
      <c r="F26" s="123">
        <v>0</v>
      </c>
    </row>
    <row r="27" spans="1:6" outlineLevel="1" x14ac:dyDescent="0.35">
      <c r="A27" s="783"/>
      <c r="B27" s="784"/>
      <c r="C27" s="784"/>
      <c r="D27" s="69" t="s">
        <v>28</v>
      </c>
      <c r="E27" s="73">
        <f t="shared" si="1"/>
        <v>0</v>
      </c>
      <c r="F27" s="123">
        <v>0</v>
      </c>
    </row>
    <row r="28" spans="1:6" outlineLevel="1" x14ac:dyDescent="0.35">
      <c r="A28" s="783"/>
      <c r="B28" s="784"/>
      <c r="C28" s="784"/>
      <c r="D28" s="69" t="s">
        <v>29</v>
      </c>
      <c r="E28" s="73">
        <f t="shared" si="1"/>
        <v>0</v>
      </c>
      <c r="F28" s="123">
        <v>0</v>
      </c>
    </row>
    <row r="29" spans="1:6" outlineLevel="1" x14ac:dyDescent="0.35">
      <c r="A29" s="783"/>
      <c r="B29" s="784"/>
      <c r="C29" s="784"/>
      <c r="D29" s="69" t="s">
        <v>30</v>
      </c>
      <c r="E29" s="73">
        <f t="shared" si="1"/>
        <v>0</v>
      </c>
      <c r="F29" s="123">
        <v>0</v>
      </c>
    </row>
    <row r="30" spans="1:6" outlineLevel="1" x14ac:dyDescent="0.35">
      <c r="A30" s="783"/>
      <c r="B30" s="784"/>
      <c r="C30" s="784"/>
      <c r="D30" s="69" t="s">
        <v>31</v>
      </c>
      <c r="E30" s="73">
        <f t="shared" si="1"/>
        <v>0</v>
      </c>
      <c r="F30" s="123">
        <v>0</v>
      </c>
    </row>
    <row r="31" spans="1:6" outlineLevel="1" x14ac:dyDescent="0.35">
      <c r="A31" s="783"/>
      <c r="B31" s="784"/>
      <c r="C31" s="784"/>
      <c r="D31" s="69" t="s">
        <v>32</v>
      </c>
      <c r="E31" s="73">
        <f t="shared" si="1"/>
        <v>0</v>
      </c>
      <c r="F31" s="123">
        <v>0</v>
      </c>
    </row>
    <row r="32" spans="1:6" outlineLevel="1" x14ac:dyDescent="0.35">
      <c r="A32" s="783"/>
      <c r="B32" s="784"/>
      <c r="C32" s="784"/>
      <c r="D32" s="69" t="s">
        <v>33</v>
      </c>
      <c r="E32" s="73">
        <f t="shared" si="1"/>
        <v>0</v>
      </c>
      <c r="F32" s="123">
        <v>0</v>
      </c>
    </row>
    <row r="33" spans="1:6" ht="15" outlineLevel="1" thickBot="1" x14ac:dyDescent="0.4">
      <c r="A33" s="783"/>
      <c r="B33" s="784"/>
      <c r="C33" s="784"/>
      <c r="D33" s="70" t="s">
        <v>34</v>
      </c>
      <c r="E33" s="73">
        <f t="shared" si="1"/>
        <v>0</v>
      </c>
      <c r="F33" s="126">
        <v>0</v>
      </c>
    </row>
    <row r="34" spans="1:6" ht="15" thickBot="1" x14ac:dyDescent="0.4">
      <c r="A34" s="789" t="s">
        <v>91</v>
      </c>
      <c r="B34" s="789"/>
      <c r="C34" s="789"/>
      <c r="D34" s="77"/>
      <c r="E34" s="78">
        <f t="shared" ref="E34:F34" si="2">SUM(E35:E84)</f>
        <v>693872.578125</v>
      </c>
      <c r="F34" s="79">
        <f t="shared" si="2"/>
        <v>693872.578125</v>
      </c>
    </row>
    <row r="35" spans="1:6" outlineLevel="1" x14ac:dyDescent="0.35">
      <c r="A35" s="783" t="s">
        <v>96</v>
      </c>
      <c r="B35" s="784" t="s">
        <v>83</v>
      </c>
      <c r="C35" s="784">
        <v>635002</v>
      </c>
      <c r="D35" s="68" t="s">
        <v>25</v>
      </c>
      <c r="E35" s="72">
        <f t="shared" ref="E35:E66" si="3">SUM(F35:F35)</f>
        <v>0</v>
      </c>
      <c r="F35" s="120">
        <v>0</v>
      </c>
    </row>
    <row r="36" spans="1:6" outlineLevel="1" x14ac:dyDescent="0.35">
      <c r="A36" s="783"/>
      <c r="B36" s="784"/>
      <c r="C36" s="784"/>
      <c r="D36" s="69" t="s">
        <v>26</v>
      </c>
      <c r="E36" s="73">
        <f t="shared" si="3"/>
        <v>70000</v>
      </c>
      <c r="F36" s="123">
        <f>(0.3*$F$4)/3</f>
        <v>70000</v>
      </c>
    </row>
    <row r="37" spans="1:6" outlineLevel="1" x14ac:dyDescent="0.35">
      <c r="A37" s="783"/>
      <c r="B37" s="784"/>
      <c r="C37" s="784"/>
      <c r="D37" s="69" t="s">
        <v>27</v>
      </c>
      <c r="E37" s="73">
        <f t="shared" si="3"/>
        <v>70000</v>
      </c>
      <c r="F37" s="123">
        <f t="shared" ref="F37:F44" si="4">(0.3*$F$4)/3</f>
        <v>70000</v>
      </c>
    </row>
    <row r="38" spans="1:6" outlineLevel="1" x14ac:dyDescent="0.35">
      <c r="A38" s="783"/>
      <c r="B38" s="784"/>
      <c r="C38" s="784"/>
      <c r="D38" s="69" t="s">
        <v>28</v>
      </c>
      <c r="E38" s="73">
        <f t="shared" si="3"/>
        <v>70000</v>
      </c>
      <c r="F38" s="123">
        <f t="shared" si="4"/>
        <v>70000</v>
      </c>
    </row>
    <row r="39" spans="1:6" outlineLevel="1" x14ac:dyDescent="0.35">
      <c r="A39" s="783"/>
      <c r="B39" s="784"/>
      <c r="C39" s="784"/>
      <c r="D39" s="69" t="s">
        <v>29</v>
      </c>
      <c r="E39" s="73">
        <f t="shared" si="3"/>
        <v>70000</v>
      </c>
      <c r="F39" s="123">
        <f t="shared" si="4"/>
        <v>70000</v>
      </c>
    </row>
    <row r="40" spans="1:6" outlineLevel="1" x14ac:dyDescent="0.35">
      <c r="A40" s="783"/>
      <c r="B40" s="784"/>
      <c r="C40" s="784"/>
      <c r="D40" s="69" t="s">
        <v>30</v>
      </c>
      <c r="E40" s="73">
        <f t="shared" si="3"/>
        <v>70000</v>
      </c>
      <c r="F40" s="123">
        <f t="shared" si="4"/>
        <v>70000</v>
      </c>
    </row>
    <row r="41" spans="1:6" outlineLevel="1" x14ac:dyDescent="0.35">
      <c r="A41" s="783"/>
      <c r="B41" s="784"/>
      <c r="C41" s="784"/>
      <c r="D41" s="69" t="s">
        <v>31</v>
      </c>
      <c r="E41" s="73">
        <f t="shared" si="3"/>
        <v>70000</v>
      </c>
      <c r="F41" s="123">
        <f t="shared" si="4"/>
        <v>70000</v>
      </c>
    </row>
    <row r="42" spans="1:6" outlineLevel="1" x14ac:dyDescent="0.35">
      <c r="A42" s="783"/>
      <c r="B42" s="784"/>
      <c r="C42" s="784"/>
      <c r="D42" s="69" t="s">
        <v>32</v>
      </c>
      <c r="E42" s="73">
        <f t="shared" si="3"/>
        <v>70000</v>
      </c>
      <c r="F42" s="123">
        <f t="shared" si="4"/>
        <v>70000</v>
      </c>
    </row>
    <row r="43" spans="1:6" outlineLevel="1" x14ac:dyDescent="0.35">
      <c r="A43" s="783"/>
      <c r="B43" s="784"/>
      <c r="C43" s="784"/>
      <c r="D43" s="69" t="s">
        <v>33</v>
      </c>
      <c r="E43" s="73">
        <f t="shared" si="3"/>
        <v>70000</v>
      </c>
      <c r="F43" s="123">
        <f t="shared" si="4"/>
        <v>70000</v>
      </c>
    </row>
    <row r="44" spans="1:6" ht="15" outlineLevel="1" thickBot="1" x14ac:dyDescent="0.4">
      <c r="A44" s="783"/>
      <c r="B44" s="784"/>
      <c r="C44" s="784"/>
      <c r="D44" s="70" t="s">
        <v>34</v>
      </c>
      <c r="E44" s="74">
        <f t="shared" si="3"/>
        <v>70000</v>
      </c>
      <c r="F44" s="123">
        <f t="shared" si="4"/>
        <v>70000</v>
      </c>
    </row>
    <row r="45" spans="1:6" outlineLevel="1" x14ac:dyDescent="0.35">
      <c r="A45" s="783" t="s">
        <v>97</v>
      </c>
      <c r="B45" s="783" t="s">
        <v>95</v>
      </c>
      <c r="C45" s="784">
        <v>718002</v>
      </c>
      <c r="D45" s="68" t="s">
        <v>25</v>
      </c>
      <c r="E45" s="73">
        <f t="shared" si="3"/>
        <v>0</v>
      </c>
      <c r="F45" s="120">
        <v>0</v>
      </c>
    </row>
    <row r="46" spans="1:6" outlineLevel="1" x14ac:dyDescent="0.35">
      <c r="A46" s="783"/>
      <c r="B46" s="784"/>
      <c r="C46" s="784"/>
      <c r="D46" s="69" t="s">
        <v>26</v>
      </c>
      <c r="E46" s="73">
        <f t="shared" si="3"/>
        <v>0</v>
      </c>
      <c r="F46" s="123">
        <v>0</v>
      </c>
    </row>
    <row r="47" spans="1:6" outlineLevel="1" x14ac:dyDescent="0.35">
      <c r="A47" s="783"/>
      <c r="B47" s="784"/>
      <c r="C47" s="784"/>
      <c r="D47" s="69" t="s">
        <v>27</v>
      </c>
      <c r="E47" s="73">
        <f t="shared" si="3"/>
        <v>0</v>
      </c>
      <c r="F47" s="123">
        <v>0</v>
      </c>
    </row>
    <row r="48" spans="1:6" outlineLevel="1" x14ac:dyDescent="0.35">
      <c r="A48" s="783"/>
      <c r="B48" s="784"/>
      <c r="C48" s="784"/>
      <c r="D48" s="69" t="s">
        <v>28</v>
      </c>
      <c r="E48" s="73">
        <f t="shared" si="3"/>
        <v>0</v>
      </c>
      <c r="F48" s="123">
        <v>0</v>
      </c>
    </row>
    <row r="49" spans="1:6" outlineLevel="1" x14ac:dyDescent="0.35">
      <c r="A49" s="783"/>
      <c r="B49" s="784"/>
      <c r="C49" s="784"/>
      <c r="D49" s="69" t="s">
        <v>29</v>
      </c>
      <c r="E49" s="73">
        <f t="shared" si="3"/>
        <v>0</v>
      </c>
      <c r="F49" s="123">
        <v>0</v>
      </c>
    </row>
    <row r="50" spans="1:6" outlineLevel="1" x14ac:dyDescent="0.35">
      <c r="A50" s="783"/>
      <c r="B50" s="784"/>
      <c r="C50" s="784"/>
      <c r="D50" s="69" t="s">
        <v>30</v>
      </c>
      <c r="E50" s="73">
        <f t="shared" si="3"/>
        <v>0</v>
      </c>
      <c r="F50" s="123">
        <v>0</v>
      </c>
    </row>
    <row r="51" spans="1:6" outlineLevel="1" x14ac:dyDescent="0.35">
      <c r="A51" s="783"/>
      <c r="B51" s="784"/>
      <c r="C51" s="784"/>
      <c r="D51" s="69" t="s">
        <v>31</v>
      </c>
      <c r="E51" s="73">
        <f t="shared" si="3"/>
        <v>0</v>
      </c>
      <c r="F51" s="123">
        <v>0</v>
      </c>
    </row>
    <row r="52" spans="1:6" outlineLevel="1" x14ac:dyDescent="0.35">
      <c r="A52" s="783"/>
      <c r="B52" s="784"/>
      <c r="C52" s="784"/>
      <c r="D52" s="69" t="s">
        <v>32</v>
      </c>
      <c r="E52" s="73">
        <f t="shared" si="3"/>
        <v>0</v>
      </c>
      <c r="F52" s="123">
        <v>0</v>
      </c>
    </row>
    <row r="53" spans="1:6" outlineLevel="1" x14ac:dyDescent="0.35">
      <c r="A53" s="783"/>
      <c r="B53" s="784"/>
      <c r="C53" s="784"/>
      <c r="D53" s="69" t="s">
        <v>33</v>
      </c>
      <c r="E53" s="73">
        <f t="shared" si="3"/>
        <v>0</v>
      </c>
      <c r="F53" s="123">
        <v>0</v>
      </c>
    </row>
    <row r="54" spans="1:6" ht="15" outlineLevel="1" thickBot="1" x14ac:dyDescent="0.4">
      <c r="A54" s="783"/>
      <c r="B54" s="784"/>
      <c r="C54" s="784"/>
      <c r="D54" s="70" t="s">
        <v>34</v>
      </c>
      <c r="E54" s="74">
        <f t="shared" si="3"/>
        <v>0</v>
      </c>
      <c r="F54" s="126">
        <v>0</v>
      </c>
    </row>
    <row r="55" spans="1:6" outlineLevel="1" x14ac:dyDescent="0.35">
      <c r="A55" s="783" t="s">
        <v>98</v>
      </c>
      <c r="B55" s="784"/>
      <c r="C55" s="784"/>
      <c r="D55" s="68" t="s">
        <v>25</v>
      </c>
      <c r="E55" s="73">
        <f t="shared" si="3"/>
        <v>0</v>
      </c>
      <c r="F55" s="120">
        <v>0</v>
      </c>
    </row>
    <row r="56" spans="1:6" outlineLevel="1" x14ac:dyDescent="0.35">
      <c r="A56" s="783"/>
      <c r="B56" s="784"/>
      <c r="C56" s="784"/>
      <c r="D56" s="69" t="s">
        <v>26</v>
      </c>
      <c r="E56" s="73">
        <f t="shared" si="3"/>
        <v>0</v>
      </c>
      <c r="F56" s="123">
        <v>0</v>
      </c>
    </row>
    <row r="57" spans="1:6" outlineLevel="1" x14ac:dyDescent="0.35">
      <c r="A57" s="783"/>
      <c r="B57" s="784"/>
      <c r="C57" s="784"/>
      <c r="D57" s="69" t="s">
        <v>27</v>
      </c>
      <c r="E57" s="73">
        <f t="shared" si="3"/>
        <v>0</v>
      </c>
      <c r="F57" s="123">
        <v>0</v>
      </c>
    </row>
    <row r="58" spans="1:6" outlineLevel="1" x14ac:dyDescent="0.35">
      <c r="A58" s="783"/>
      <c r="B58" s="784"/>
      <c r="C58" s="784"/>
      <c r="D58" s="69" t="s">
        <v>28</v>
      </c>
      <c r="E58" s="73">
        <f t="shared" si="3"/>
        <v>0</v>
      </c>
      <c r="F58" s="123">
        <v>0</v>
      </c>
    </row>
    <row r="59" spans="1:6" outlineLevel="1" x14ac:dyDescent="0.35">
      <c r="A59" s="783"/>
      <c r="B59" s="784"/>
      <c r="C59" s="784"/>
      <c r="D59" s="69" t="s">
        <v>29</v>
      </c>
      <c r="E59" s="73">
        <f t="shared" si="3"/>
        <v>0</v>
      </c>
      <c r="F59" s="123">
        <v>0</v>
      </c>
    </row>
    <row r="60" spans="1:6" outlineLevel="1" x14ac:dyDescent="0.35">
      <c r="A60" s="783"/>
      <c r="B60" s="784"/>
      <c r="C60" s="784"/>
      <c r="D60" s="69" t="s">
        <v>30</v>
      </c>
      <c r="E60" s="73">
        <f t="shared" si="3"/>
        <v>0</v>
      </c>
      <c r="F60" s="123">
        <v>0</v>
      </c>
    </row>
    <row r="61" spans="1:6" outlineLevel="1" x14ac:dyDescent="0.35">
      <c r="A61" s="783"/>
      <c r="B61" s="784"/>
      <c r="C61" s="784"/>
      <c r="D61" s="69" t="s">
        <v>31</v>
      </c>
      <c r="E61" s="73">
        <f t="shared" si="3"/>
        <v>0</v>
      </c>
      <c r="F61" s="123">
        <v>0</v>
      </c>
    </row>
    <row r="62" spans="1:6" outlineLevel="1" x14ac:dyDescent="0.35">
      <c r="A62" s="783"/>
      <c r="B62" s="784"/>
      <c r="C62" s="784"/>
      <c r="D62" s="69" t="s">
        <v>32</v>
      </c>
      <c r="E62" s="73">
        <f t="shared" si="3"/>
        <v>0</v>
      </c>
      <c r="F62" s="123">
        <v>0</v>
      </c>
    </row>
    <row r="63" spans="1:6" outlineLevel="1" x14ac:dyDescent="0.35">
      <c r="A63" s="783"/>
      <c r="B63" s="784"/>
      <c r="C63" s="784"/>
      <c r="D63" s="69" t="s">
        <v>33</v>
      </c>
      <c r="E63" s="73">
        <f t="shared" si="3"/>
        <v>0</v>
      </c>
      <c r="F63" s="123">
        <v>0</v>
      </c>
    </row>
    <row r="64" spans="1:6" ht="15" outlineLevel="1" thickBot="1" x14ac:dyDescent="0.4">
      <c r="A64" s="783"/>
      <c r="B64" s="784"/>
      <c r="C64" s="784"/>
      <c r="D64" s="70" t="s">
        <v>34</v>
      </c>
      <c r="E64" s="74">
        <f t="shared" si="3"/>
        <v>0</v>
      </c>
      <c r="F64" s="126">
        <v>0</v>
      </c>
    </row>
    <row r="65" spans="1:6" outlineLevel="1" x14ac:dyDescent="0.35">
      <c r="A65" s="783" t="s">
        <v>99</v>
      </c>
      <c r="B65" s="784"/>
      <c r="C65" s="784"/>
      <c r="D65" s="68" t="s">
        <v>25</v>
      </c>
      <c r="E65" s="73">
        <f t="shared" si="3"/>
        <v>0</v>
      </c>
      <c r="F65" s="120">
        <v>0</v>
      </c>
    </row>
    <row r="66" spans="1:6" outlineLevel="1" x14ac:dyDescent="0.35">
      <c r="A66" s="783"/>
      <c r="B66" s="784"/>
      <c r="C66" s="784"/>
      <c r="D66" s="69" t="s">
        <v>26</v>
      </c>
      <c r="E66" s="73">
        <f t="shared" si="3"/>
        <v>7096.953125</v>
      </c>
      <c r="F66" s="123">
        <f>(SUM('Rozpočet - vývoj Aplikácií'!$BQ$57:$BR$57)/32)</f>
        <v>7096.953125</v>
      </c>
    </row>
    <row r="67" spans="1:6" outlineLevel="1" x14ac:dyDescent="0.35">
      <c r="A67" s="783"/>
      <c r="B67" s="784"/>
      <c r="C67" s="784"/>
      <c r="D67" s="69" t="s">
        <v>27</v>
      </c>
      <c r="E67" s="73">
        <f t="shared" ref="E67:E84" si="5">SUM(F67:F67)</f>
        <v>7096.953125</v>
      </c>
      <c r="F67" s="123">
        <f>(SUM('Rozpočet - vývoj Aplikácií'!$BQ$57:$BR$57)/32)</f>
        <v>7096.953125</v>
      </c>
    </row>
    <row r="68" spans="1:6" outlineLevel="1" x14ac:dyDescent="0.35">
      <c r="A68" s="783"/>
      <c r="B68" s="784"/>
      <c r="C68" s="784"/>
      <c r="D68" s="69" t="s">
        <v>28</v>
      </c>
      <c r="E68" s="73">
        <f t="shared" si="5"/>
        <v>7096.953125</v>
      </c>
      <c r="F68" s="123">
        <f>(SUM('Rozpočet - vývoj Aplikácií'!$BQ$57:$BR$57)/32)</f>
        <v>7096.953125</v>
      </c>
    </row>
    <row r="69" spans="1:6" outlineLevel="1" x14ac:dyDescent="0.35">
      <c r="A69" s="783"/>
      <c r="B69" s="784"/>
      <c r="C69" s="784"/>
      <c r="D69" s="69" t="s">
        <v>29</v>
      </c>
      <c r="E69" s="73">
        <f t="shared" si="5"/>
        <v>7096.953125</v>
      </c>
      <c r="F69" s="123">
        <f>(SUM('Rozpočet - vývoj Aplikácií'!$BQ$57:$BR$57)/32)</f>
        <v>7096.953125</v>
      </c>
    </row>
    <row r="70" spans="1:6" outlineLevel="1" x14ac:dyDescent="0.35">
      <c r="A70" s="783"/>
      <c r="B70" s="784"/>
      <c r="C70" s="784"/>
      <c r="D70" s="69" t="s">
        <v>30</v>
      </c>
      <c r="E70" s="73">
        <f t="shared" si="5"/>
        <v>7096.953125</v>
      </c>
      <c r="F70" s="123">
        <f>(SUM('Rozpočet - vývoj Aplikácií'!$BQ$57:$BR$57)/32)</f>
        <v>7096.953125</v>
      </c>
    </row>
    <row r="71" spans="1:6" outlineLevel="1" x14ac:dyDescent="0.35">
      <c r="A71" s="783"/>
      <c r="B71" s="784"/>
      <c r="C71" s="784"/>
      <c r="D71" s="69" t="s">
        <v>31</v>
      </c>
      <c r="E71" s="73">
        <f t="shared" si="5"/>
        <v>7096.953125</v>
      </c>
      <c r="F71" s="123">
        <f>(SUM('Rozpočet - vývoj Aplikácií'!$BQ$57:$BR$57)/32)</f>
        <v>7096.953125</v>
      </c>
    </row>
    <row r="72" spans="1:6" outlineLevel="1" x14ac:dyDescent="0.35">
      <c r="A72" s="783"/>
      <c r="B72" s="784"/>
      <c r="C72" s="784"/>
      <c r="D72" s="69" t="s">
        <v>32</v>
      </c>
      <c r="E72" s="73">
        <f t="shared" si="5"/>
        <v>7096.953125</v>
      </c>
      <c r="F72" s="123">
        <f>(SUM('Rozpočet - vývoj Aplikácií'!$BQ$57:$BR$57)/32)</f>
        <v>7096.953125</v>
      </c>
    </row>
    <row r="73" spans="1:6" outlineLevel="1" x14ac:dyDescent="0.35">
      <c r="A73" s="783"/>
      <c r="B73" s="784"/>
      <c r="C73" s="784"/>
      <c r="D73" s="69" t="s">
        <v>33</v>
      </c>
      <c r="E73" s="73">
        <f t="shared" si="5"/>
        <v>7096.953125</v>
      </c>
      <c r="F73" s="123">
        <f>(SUM('Rozpočet - vývoj Aplikácií'!$BQ$57:$BR$57)/32)</f>
        <v>7096.953125</v>
      </c>
    </row>
    <row r="74" spans="1:6" ht="15" outlineLevel="1" thickBot="1" x14ac:dyDescent="0.4">
      <c r="A74" s="783"/>
      <c r="B74" s="784"/>
      <c r="C74" s="784"/>
      <c r="D74" s="70" t="s">
        <v>34</v>
      </c>
      <c r="E74" s="74">
        <f t="shared" si="5"/>
        <v>7096.953125</v>
      </c>
      <c r="F74" s="123">
        <f>(SUM('Rozpočet - vývoj Aplikácií'!$BQ$57:$BR$57)/32)</f>
        <v>7096.953125</v>
      </c>
    </row>
    <row r="75" spans="1:6" outlineLevel="1" x14ac:dyDescent="0.35">
      <c r="A75" s="783" t="s">
        <v>94</v>
      </c>
      <c r="B75" s="784" t="s">
        <v>80</v>
      </c>
      <c r="C75" s="784">
        <v>637001</v>
      </c>
      <c r="D75" s="68" t="s">
        <v>25</v>
      </c>
      <c r="E75" s="73">
        <f t="shared" si="5"/>
        <v>0</v>
      </c>
      <c r="F75" s="120">
        <v>0</v>
      </c>
    </row>
    <row r="76" spans="1:6" outlineLevel="1" x14ac:dyDescent="0.35">
      <c r="A76" s="783"/>
      <c r="B76" s="784"/>
      <c r="C76" s="784"/>
      <c r="D76" s="69" t="s">
        <v>26</v>
      </c>
      <c r="E76" s="73">
        <f t="shared" si="5"/>
        <v>0</v>
      </c>
      <c r="F76" s="123">
        <v>0</v>
      </c>
    </row>
    <row r="77" spans="1:6" outlineLevel="1" x14ac:dyDescent="0.35">
      <c r="A77" s="783"/>
      <c r="B77" s="784"/>
      <c r="C77" s="784"/>
      <c r="D77" s="69" t="s">
        <v>27</v>
      </c>
      <c r="E77" s="73">
        <f t="shared" si="5"/>
        <v>0</v>
      </c>
      <c r="F77" s="123">
        <v>0</v>
      </c>
    </row>
    <row r="78" spans="1:6" outlineLevel="1" x14ac:dyDescent="0.35">
      <c r="A78" s="783"/>
      <c r="B78" s="784"/>
      <c r="C78" s="784"/>
      <c r="D78" s="69" t="s">
        <v>28</v>
      </c>
      <c r="E78" s="73">
        <f t="shared" si="5"/>
        <v>0</v>
      </c>
      <c r="F78" s="123">
        <v>0</v>
      </c>
    </row>
    <row r="79" spans="1:6" outlineLevel="1" x14ac:dyDescent="0.35">
      <c r="A79" s="783"/>
      <c r="B79" s="784"/>
      <c r="C79" s="784"/>
      <c r="D79" s="69" t="s">
        <v>29</v>
      </c>
      <c r="E79" s="73">
        <f t="shared" si="5"/>
        <v>0</v>
      </c>
      <c r="F79" s="123">
        <v>0</v>
      </c>
    </row>
    <row r="80" spans="1:6" outlineLevel="1" x14ac:dyDescent="0.35">
      <c r="A80" s="783"/>
      <c r="B80" s="784"/>
      <c r="C80" s="784"/>
      <c r="D80" s="69" t="s">
        <v>30</v>
      </c>
      <c r="E80" s="73">
        <f t="shared" si="5"/>
        <v>0</v>
      </c>
      <c r="F80" s="123">
        <v>0</v>
      </c>
    </row>
    <row r="81" spans="1:6" outlineLevel="1" x14ac:dyDescent="0.35">
      <c r="A81" s="783"/>
      <c r="B81" s="784"/>
      <c r="C81" s="784"/>
      <c r="D81" s="69" t="s">
        <v>31</v>
      </c>
      <c r="E81" s="73">
        <f t="shared" si="5"/>
        <v>0</v>
      </c>
      <c r="F81" s="123">
        <v>0</v>
      </c>
    </row>
    <row r="82" spans="1:6" outlineLevel="1" x14ac:dyDescent="0.35">
      <c r="A82" s="783"/>
      <c r="B82" s="784"/>
      <c r="C82" s="784"/>
      <c r="D82" s="69" t="s">
        <v>32</v>
      </c>
      <c r="E82" s="73">
        <f t="shared" si="5"/>
        <v>0</v>
      </c>
      <c r="F82" s="123">
        <v>0</v>
      </c>
    </row>
    <row r="83" spans="1:6" outlineLevel="1" x14ac:dyDescent="0.35">
      <c r="A83" s="783"/>
      <c r="B83" s="784"/>
      <c r="C83" s="784"/>
      <c r="D83" s="69" t="s">
        <v>33</v>
      </c>
      <c r="E83" s="73">
        <f t="shared" si="5"/>
        <v>0</v>
      </c>
      <c r="F83" s="123">
        <v>0</v>
      </c>
    </row>
    <row r="84" spans="1:6" ht="15" outlineLevel="1" thickBot="1" x14ac:dyDescent="0.4">
      <c r="A84" s="783"/>
      <c r="B84" s="784"/>
      <c r="C84" s="784"/>
      <c r="D84" s="70" t="s">
        <v>34</v>
      </c>
      <c r="E84" s="74">
        <f t="shared" si="5"/>
        <v>0</v>
      </c>
      <c r="F84" s="126">
        <v>0</v>
      </c>
    </row>
  </sheetData>
  <mergeCells count="27">
    <mergeCell ref="A3:C3"/>
    <mergeCell ref="A24:A33"/>
    <mergeCell ref="B24:B33"/>
    <mergeCell ref="C24:C33"/>
    <mergeCell ref="A34:C34"/>
    <mergeCell ref="A4:A13"/>
    <mergeCell ref="B4:B13"/>
    <mergeCell ref="C4:C13"/>
    <mergeCell ref="A14:A23"/>
    <mergeCell ref="B14:B23"/>
    <mergeCell ref="C14:C23"/>
    <mergeCell ref="A1:D1"/>
    <mergeCell ref="A65:A74"/>
    <mergeCell ref="B65:B74"/>
    <mergeCell ref="C65:C74"/>
    <mergeCell ref="A75:A84"/>
    <mergeCell ref="B75:B84"/>
    <mergeCell ref="C75:C84"/>
    <mergeCell ref="A45:A54"/>
    <mergeCell ref="B45:B54"/>
    <mergeCell ref="C45:C54"/>
    <mergeCell ref="A55:A64"/>
    <mergeCell ref="B55:B64"/>
    <mergeCell ref="C55:C64"/>
    <mergeCell ref="A35:A44"/>
    <mergeCell ref="B35:B44"/>
    <mergeCell ref="C35:C44"/>
  </mergeCells>
  <pageMargins left="0.7" right="0.7" top="0.75" bottom="0.75" header="0.3" footer="0.3"/>
  <pageSetup paperSize="9" scale="34" orientation="portrait" r:id="rId1"/>
  <ignoredErrors>
    <ignoredError sqref="E34" formula="1"/>
  </ignoredError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CC"/>
  </sheetPr>
  <dimension ref="A1:BS64"/>
  <sheetViews>
    <sheetView view="pageBreakPreview" topLeftCell="A25" zoomScale="80" zoomScaleNormal="100" zoomScaleSheetLayoutView="80" workbookViewId="0">
      <selection activeCell="BS50" sqref="BS50"/>
    </sheetView>
  </sheetViews>
  <sheetFormatPr defaultColWidth="8.7265625" defaultRowHeight="12" x14ac:dyDescent="0.3"/>
  <cols>
    <col min="1" max="1" width="50.81640625" style="147" customWidth="1"/>
    <col min="2" max="2" width="13" style="147" customWidth="1"/>
    <col min="3" max="3" width="3.26953125" style="147" customWidth="1"/>
    <col min="4" max="14" width="3.7265625" style="147" customWidth="1"/>
    <col min="15" max="62" width="3.7265625" style="147" hidden="1" customWidth="1"/>
    <col min="63" max="68" width="8" style="147" customWidth="1"/>
    <col min="69" max="69" width="10" style="147" customWidth="1"/>
    <col min="70" max="70" width="10.7265625" style="148" customWidth="1"/>
    <col min="71" max="71" width="37.26953125" style="147" customWidth="1"/>
    <col min="72" max="16384" width="8.7265625" style="147"/>
  </cols>
  <sheetData>
    <row r="1" spans="1:71" ht="12.5" thickBot="1" x14ac:dyDescent="0.35"/>
    <row r="2" spans="1:71" ht="36.75" customHeight="1" x14ac:dyDescent="0.3">
      <c r="A2" s="292" t="s">
        <v>123</v>
      </c>
      <c r="B2" s="293" t="s">
        <v>1</v>
      </c>
      <c r="C2" s="283" t="s">
        <v>124</v>
      </c>
      <c r="D2" s="284" t="s">
        <v>125</v>
      </c>
      <c r="E2" s="284" t="s">
        <v>126</v>
      </c>
      <c r="F2" s="284" t="s">
        <v>127</v>
      </c>
      <c r="G2" s="284" t="s">
        <v>128</v>
      </c>
      <c r="H2" s="284" t="s">
        <v>129</v>
      </c>
      <c r="I2" s="284" t="s">
        <v>130</v>
      </c>
      <c r="J2" s="284" t="s">
        <v>131</v>
      </c>
      <c r="K2" s="284" t="s">
        <v>132</v>
      </c>
      <c r="L2" s="284" t="s">
        <v>133</v>
      </c>
      <c r="M2" s="284" t="s">
        <v>134</v>
      </c>
      <c r="N2" s="285" t="s">
        <v>135</v>
      </c>
      <c r="O2" s="284" t="s">
        <v>136</v>
      </c>
      <c r="P2" s="284" t="s">
        <v>137</v>
      </c>
      <c r="Q2" s="284" t="s">
        <v>138</v>
      </c>
      <c r="R2" s="284" t="s">
        <v>139</v>
      </c>
      <c r="S2" s="284" t="s">
        <v>140</v>
      </c>
      <c r="T2" s="284" t="s">
        <v>141</v>
      </c>
      <c r="U2" s="284" t="s">
        <v>142</v>
      </c>
      <c r="V2" s="284" t="s">
        <v>143</v>
      </c>
      <c r="W2" s="284" t="s">
        <v>144</v>
      </c>
      <c r="X2" s="284" t="s">
        <v>145</v>
      </c>
      <c r="Y2" s="284" t="s">
        <v>375</v>
      </c>
      <c r="Z2" s="285" t="s">
        <v>146</v>
      </c>
      <c r="AA2" s="284" t="s">
        <v>376</v>
      </c>
      <c r="AB2" s="284" t="s">
        <v>377</v>
      </c>
      <c r="AC2" s="284" t="s">
        <v>378</v>
      </c>
      <c r="AD2" s="284" t="s">
        <v>379</v>
      </c>
      <c r="AE2" s="284" t="s">
        <v>380</v>
      </c>
      <c r="AF2" s="284" t="s">
        <v>381</v>
      </c>
      <c r="AG2" s="284" t="s">
        <v>382</v>
      </c>
      <c r="AH2" s="284" t="s">
        <v>383</v>
      </c>
      <c r="AI2" s="284" t="s">
        <v>384</v>
      </c>
      <c r="AJ2" s="284" t="s">
        <v>385</v>
      </c>
      <c r="AK2" s="284" t="s">
        <v>386</v>
      </c>
      <c r="AL2" s="285" t="s">
        <v>387</v>
      </c>
      <c r="AM2" s="284" t="s">
        <v>388</v>
      </c>
      <c r="AN2" s="284" t="s">
        <v>389</v>
      </c>
      <c r="AO2" s="284" t="s">
        <v>390</v>
      </c>
      <c r="AP2" s="284" t="s">
        <v>391</v>
      </c>
      <c r="AQ2" s="284" t="s">
        <v>392</v>
      </c>
      <c r="AR2" s="284" t="s">
        <v>393</v>
      </c>
      <c r="AS2" s="284" t="s">
        <v>394</v>
      </c>
      <c r="AT2" s="284" t="s">
        <v>395</v>
      </c>
      <c r="AU2" s="284" t="s">
        <v>396</v>
      </c>
      <c r="AV2" s="284" t="s">
        <v>397</v>
      </c>
      <c r="AW2" s="284" t="s">
        <v>398</v>
      </c>
      <c r="AX2" s="285" t="s">
        <v>399</v>
      </c>
      <c r="AY2" s="284" t="s">
        <v>410</v>
      </c>
      <c r="AZ2" s="284" t="s">
        <v>411</v>
      </c>
      <c r="BA2" s="284" t="s">
        <v>412</v>
      </c>
      <c r="BB2" s="284" t="s">
        <v>413</v>
      </c>
      <c r="BC2" s="284" t="s">
        <v>414</v>
      </c>
      <c r="BD2" s="284" t="s">
        <v>415</v>
      </c>
      <c r="BE2" s="284" t="s">
        <v>416</v>
      </c>
      <c r="BF2" s="284" t="s">
        <v>417</v>
      </c>
      <c r="BG2" s="284" t="s">
        <v>418</v>
      </c>
      <c r="BH2" s="284" t="s">
        <v>419</v>
      </c>
      <c r="BI2" s="284" t="s">
        <v>420</v>
      </c>
      <c r="BJ2" s="285" t="s">
        <v>421</v>
      </c>
      <c r="BK2" s="269" t="s">
        <v>147</v>
      </c>
      <c r="BL2" s="270" t="s">
        <v>148</v>
      </c>
      <c r="BM2" s="270" t="s">
        <v>149</v>
      </c>
      <c r="BN2" s="270" t="s">
        <v>150</v>
      </c>
      <c r="BO2" s="270" t="s">
        <v>151</v>
      </c>
      <c r="BP2" s="270" t="s">
        <v>152</v>
      </c>
      <c r="BQ2" s="269" t="s">
        <v>153</v>
      </c>
      <c r="BR2" s="262" t="s">
        <v>154</v>
      </c>
      <c r="BS2" s="149"/>
    </row>
    <row r="3" spans="1:71" ht="14.25" customHeight="1" x14ac:dyDescent="0.3">
      <c r="A3" s="150"/>
      <c r="B3" s="151"/>
      <c r="C3" s="286"/>
      <c r="D3" s="287"/>
      <c r="E3" s="287"/>
      <c r="F3" s="287"/>
      <c r="G3" s="287"/>
      <c r="H3" s="287"/>
      <c r="I3" s="287"/>
      <c r="J3" s="287"/>
      <c r="K3" s="287"/>
      <c r="L3" s="287"/>
      <c r="M3" s="287"/>
      <c r="N3" s="288"/>
      <c r="O3" s="287"/>
      <c r="P3" s="287"/>
      <c r="Q3" s="287"/>
      <c r="R3" s="287"/>
      <c r="S3" s="287"/>
      <c r="T3" s="287"/>
      <c r="U3" s="287"/>
      <c r="V3" s="287"/>
      <c r="W3" s="287"/>
      <c r="X3" s="287"/>
      <c r="Y3" s="287"/>
      <c r="Z3" s="288"/>
      <c r="AA3" s="287"/>
      <c r="AB3" s="287"/>
      <c r="AC3" s="287"/>
      <c r="AD3" s="287"/>
      <c r="AE3" s="287"/>
      <c r="AF3" s="287"/>
      <c r="AG3" s="287"/>
      <c r="AH3" s="287"/>
      <c r="AI3" s="287"/>
      <c r="AJ3" s="287"/>
      <c r="AK3" s="287"/>
      <c r="AL3" s="288"/>
      <c r="AM3" s="287"/>
      <c r="AN3" s="287"/>
      <c r="AO3" s="287"/>
      <c r="AP3" s="287"/>
      <c r="AQ3" s="287"/>
      <c r="AR3" s="287"/>
      <c r="AS3" s="287"/>
      <c r="AT3" s="287"/>
      <c r="AU3" s="287"/>
      <c r="AV3" s="287"/>
      <c r="AW3" s="287"/>
      <c r="AX3" s="288"/>
      <c r="AY3" s="287"/>
      <c r="AZ3" s="287"/>
      <c r="BA3" s="287"/>
      <c r="BB3" s="287"/>
      <c r="BC3" s="287"/>
      <c r="BD3" s="287"/>
      <c r="BE3" s="287"/>
      <c r="BF3" s="287"/>
      <c r="BG3" s="287"/>
      <c r="BH3" s="287"/>
      <c r="BI3" s="287"/>
      <c r="BJ3" s="288"/>
      <c r="BK3" s="271"/>
      <c r="BL3" s="272"/>
      <c r="BM3" s="272"/>
      <c r="BN3" s="272"/>
      <c r="BO3" s="272"/>
      <c r="BP3" s="272"/>
      <c r="BQ3" s="271"/>
      <c r="BR3" s="272"/>
      <c r="BS3" s="648"/>
    </row>
    <row r="4" spans="1:71" x14ac:dyDescent="0.3">
      <c r="A4" s="295" t="s">
        <v>367</v>
      </c>
      <c r="B4" s="154"/>
      <c r="C4" s="326" t="s">
        <v>266</v>
      </c>
      <c r="D4" s="278"/>
      <c r="E4" s="278"/>
      <c r="F4" s="278"/>
      <c r="G4" s="278"/>
      <c r="H4" s="278"/>
      <c r="I4" s="278"/>
      <c r="J4" s="278"/>
      <c r="K4" s="278"/>
      <c r="L4" s="278"/>
      <c r="M4" s="278"/>
      <c r="N4" s="279"/>
      <c r="O4" s="278"/>
      <c r="P4" s="278"/>
      <c r="Q4" s="278"/>
      <c r="R4" s="278"/>
      <c r="S4" s="278"/>
      <c r="T4" s="278"/>
      <c r="U4" s="278"/>
      <c r="V4" s="278"/>
      <c r="W4" s="278"/>
      <c r="X4" s="278"/>
      <c r="Y4" s="278"/>
      <c r="Z4" s="279"/>
      <c r="AA4" s="278"/>
      <c r="AB4" s="278"/>
      <c r="AC4" s="278"/>
      <c r="AD4" s="278"/>
      <c r="AE4" s="278"/>
      <c r="AF4" s="278"/>
      <c r="AG4" s="278"/>
      <c r="AH4" s="278"/>
      <c r="AI4" s="278"/>
      <c r="AJ4" s="278"/>
      <c r="AK4" s="278"/>
      <c r="AL4" s="279"/>
      <c r="AM4" s="278"/>
      <c r="AN4" s="278"/>
      <c r="AO4" s="278"/>
      <c r="AP4" s="278"/>
      <c r="AQ4" s="278"/>
      <c r="AR4" s="278"/>
      <c r="AS4" s="278"/>
      <c r="AT4" s="278"/>
      <c r="AU4" s="278"/>
      <c r="AV4" s="278"/>
      <c r="AW4" s="278"/>
      <c r="AX4" s="279"/>
      <c r="AY4" s="278"/>
      <c r="AZ4" s="278"/>
      <c r="BA4" s="278"/>
      <c r="BB4" s="278"/>
      <c r="BC4" s="278"/>
      <c r="BD4" s="278"/>
      <c r="BE4" s="278"/>
      <c r="BF4" s="278"/>
      <c r="BG4" s="278"/>
      <c r="BH4" s="278"/>
      <c r="BI4" s="278"/>
      <c r="BJ4" s="279"/>
      <c r="BK4" s="273"/>
      <c r="BL4" s="274"/>
      <c r="BM4" s="274"/>
      <c r="BN4" s="274"/>
      <c r="BO4" s="274"/>
      <c r="BP4" s="274"/>
      <c r="BQ4" s="580"/>
      <c r="BR4" s="651"/>
      <c r="BS4" s="649"/>
    </row>
    <row r="5" spans="1:71" ht="13" x14ac:dyDescent="0.3">
      <c r="A5" s="296" t="s">
        <v>482</v>
      </c>
      <c r="B5" s="154"/>
      <c r="C5" s="277">
        <v>1</v>
      </c>
      <c r="D5" s="278">
        <v>1</v>
      </c>
      <c r="E5" s="278">
        <v>1</v>
      </c>
      <c r="F5" s="278"/>
      <c r="G5" s="278" t="s">
        <v>162</v>
      </c>
      <c r="H5" s="278"/>
      <c r="I5" s="278"/>
      <c r="J5" s="278"/>
      <c r="K5" s="278"/>
      <c r="L5" s="278"/>
      <c r="M5" s="278"/>
      <c r="N5" s="279"/>
      <c r="O5" s="278"/>
      <c r="P5" s="278"/>
      <c r="Q5" s="278"/>
      <c r="R5" s="278"/>
      <c r="S5" s="278"/>
      <c r="T5" s="278"/>
      <c r="U5" s="278"/>
      <c r="V5" s="278"/>
      <c r="W5" s="278"/>
      <c r="X5" s="278"/>
      <c r="Y5" s="278"/>
      <c r="Z5" s="279"/>
      <c r="AA5" s="278"/>
      <c r="AB5" s="278"/>
      <c r="AC5" s="278"/>
      <c r="AD5" s="278"/>
      <c r="AE5" s="278"/>
      <c r="AF5" s="278"/>
      <c r="AG5" s="278"/>
      <c r="AH5" s="278"/>
      <c r="AI5" s="278"/>
      <c r="AJ5" s="278"/>
      <c r="AK5" s="278"/>
      <c r="AL5" s="279"/>
      <c r="AM5" s="278"/>
      <c r="AN5" s="278"/>
      <c r="AO5" s="278"/>
      <c r="AP5" s="278"/>
      <c r="AQ5" s="278"/>
      <c r="AR5" s="278"/>
      <c r="AS5" s="278"/>
      <c r="AT5" s="278"/>
      <c r="AU5" s="278"/>
      <c r="AV5" s="278"/>
      <c r="AW5" s="278"/>
      <c r="AX5" s="279"/>
      <c r="AY5" s="278"/>
      <c r="AZ5" s="278"/>
      <c r="BA5" s="278"/>
      <c r="BB5" s="278"/>
      <c r="BC5" s="278"/>
      <c r="BD5" s="278"/>
      <c r="BE5" s="278"/>
      <c r="BF5" s="278"/>
      <c r="BG5" s="278"/>
      <c r="BH5" s="278"/>
      <c r="BI5" s="278"/>
      <c r="BJ5" s="279"/>
      <c r="BK5" s="583">
        <f t="shared" ref="BK5:BK10" si="0">COUNTA(C5:AX5)*21</f>
        <v>84</v>
      </c>
      <c r="BL5" s="584">
        <f t="shared" ref="BL5:BL10" si="1">COUNTA(C5:AX5)*21</f>
        <v>84</v>
      </c>
      <c r="BM5" s="290">
        <v>0.2</v>
      </c>
      <c r="BN5" s="290">
        <v>0.7</v>
      </c>
      <c r="BO5" s="290">
        <v>120</v>
      </c>
      <c r="BP5" s="525">
        <v>743</v>
      </c>
      <c r="BQ5" s="581">
        <f>BK5*BM5*BO5</f>
        <v>2016</v>
      </c>
      <c r="BR5" s="582">
        <f>BL5*BN5*BP5</f>
        <v>43688.4</v>
      </c>
      <c r="BS5" s="649"/>
    </row>
    <row r="6" spans="1:71" ht="13" x14ac:dyDescent="0.3">
      <c r="A6" s="296" t="s">
        <v>483</v>
      </c>
      <c r="B6" s="154"/>
      <c r="C6" s="277"/>
      <c r="D6" s="278">
        <v>1</v>
      </c>
      <c r="E6" s="278">
        <v>1</v>
      </c>
      <c r="F6" s="278">
        <v>1</v>
      </c>
      <c r="G6" s="278"/>
      <c r="H6" s="278"/>
      <c r="I6" s="278"/>
      <c r="J6" s="278"/>
      <c r="K6" s="278"/>
      <c r="L6" s="278"/>
      <c r="M6" s="278"/>
      <c r="N6" s="279"/>
      <c r="O6" s="278"/>
      <c r="P6" s="278"/>
      <c r="Q6" s="278"/>
      <c r="R6" s="278"/>
      <c r="S6" s="278"/>
      <c r="T6" s="278"/>
      <c r="U6" s="278"/>
      <c r="V6" s="278"/>
      <c r="W6" s="278"/>
      <c r="X6" s="278"/>
      <c r="Y6" s="278"/>
      <c r="Z6" s="279"/>
      <c r="AA6" s="278"/>
      <c r="AB6" s="278"/>
      <c r="AC6" s="278"/>
      <c r="AD6" s="278"/>
      <c r="AE6" s="278"/>
      <c r="AF6" s="278"/>
      <c r="AG6" s="278"/>
      <c r="AH6" s="278"/>
      <c r="AI6" s="278"/>
      <c r="AJ6" s="278"/>
      <c r="AK6" s="278"/>
      <c r="AL6" s="279"/>
      <c r="AM6" s="278"/>
      <c r="AN6" s="278"/>
      <c r="AO6" s="278"/>
      <c r="AP6" s="278"/>
      <c r="AQ6" s="278"/>
      <c r="AR6" s="278"/>
      <c r="AS6" s="278"/>
      <c r="AT6" s="278"/>
      <c r="AU6" s="278"/>
      <c r="AV6" s="278"/>
      <c r="AW6" s="278"/>
      <c r="AX6" s="279"/>
      <c r="AY6" s="278"/>
      <c r="AZ6" s="278"/>
      <c r="BA6" s="278"/>
      <c r="BB6" s="278"/>
      <c r="BC6" s="278"/>
      <c r="BD6" s="278"/>
      <c r="BE6" s="278"/>
      <c r="BF6" s="278"/>
      <c r="BG6" s="278"/>
      <c r="BH6" s="278"/>
      <c r="BI6" s="278"/>
      <c r="BJ6" s="279"/>
      <c r="BK6" s="583">
        <f t="shared" si="0"/>
        <v>63</v>
      </c>
      <c r="BL6" s="584">
        <f t="shared" si="1"/>
        <v>63</v>
      </c>
      <c r="BM6" s="290">
        <v>0.2</v>
      </c>
      <c r="BN6" s="290">
        <v>0.6</v>
      </c>
      <c r="BO6" s="290">
        <v>120</v>
      </c>
      <c r="BP6" s="525">
        <v>740</v>
      </c>
      <c r="BQ6" s="581">
        <f t="shared" ref="BQ6:BQ56" si="2">BK6*BM6*BO6</f>
        <v>1512.0000000000002</v>
      </c>
      <c r="BR6" s="582">
        <f t="shared" ref="BR6:BR56" si="3">BL6*BN6*BP6</f>
        <v>27971.999999999996</v>
      </c>
      <c r="BS6" s="649"/>
    </row>
    <row r="7" spans="1:71" ht="13" x14ac:dyDescent="0.3">
      <c r="A7" s="296" t="s">
        <v>484</v>
      </c>
      <c r="B7" s="154"/>
      <c r="C7" s="277"/>
      <c r="D7" s="278"/>
      <c r="E7" s="278"/>
      <c r="F7" s="278"/>
      <c r="G7" s="278">
        <v>1</v>
      </c>
      <c r="H7" s="278">
        <v>1</v>
      </c>
      <c r="I7" s="278">
        <v>1</v>
      </c>
      <c r="J7" s="278">
        <v>1</v>
      </c>
      <c r="K7" s="278"/>
      <c r="L7" s="278"/>
      <c r="M7" s="278"/>
      <c r="N7" s="279"/>
      <c r="O7" s="278"/>
      <c r="P7" s="278"/>
      <c r="Q7" s="278"/>
      <c r="R7" s="278"/>
      <c r="S7" s="278"/>
      <c r="T7" s="278"/>
      <c r="U7" s="278"/>
      <c r="V7" s="278"/>
      <c r="W7" s="278"/>
      <c r="X7" s="278"/>
      <c r="Y7" s="278"/>
      <c r="Z7" s="279"/>
      <c r="AA7" s="278"/>
      <c r="AB7" s="278"/>
      <c r="AC7" s="278"/>
      <c r="AD7" s="278"/>
      <c r="AE7" s="278"/>
      <c r="AF7" s="278"/>
      <c r="AG7" s="278"/>
      <c r="AH7" s="278"/>
      <c r="AI7" s="278"/>
      <c r="AJ7" s="278"/>
      <c r="AK7" s="278"/>
      <c r="AL7" s="279"/>
      <c r="AM7" s="278"/>
      <c r="AN7" s="278"/>
      <c r="AO7" s="278"/>
      <c r="AP7" s="278"/>
      <c r="AQ7" s="278"/>
      <c r="AR7" s="278"/>
      <c r="AS7" s="278"/>
      <c r="AT7" s="278"/>
      <c r="AU7" s="278"/>
      <c r="AV7" s="278"/>
      <c r="AW7" s="278"/>
      <c r="AX7" s="279"/>
      <c r="AY7" s="278"/>
      <c r="AZ7" s="278"/>
      <c r="BA7" s="278"/>
      <c r="BB7" s="278"/>
      <c r="BC7" s="278"/>
      <c r="BD7" s="278"/>
      <c r="BE7" s="278"/>
      <c r="BF7" s="278"/>
      <c r="BG7" s="278"/>
      <c r="BH7" s="278"/>
      <c r="BI7" s="278"/>
      <c r="BJ7" s="279"/>
      <c r="BK7" s="583">
        <f t="shared" si="0"/>
        <v>84</v>
      </c>
      <c r="BL7" s="584">
        <f t="shared" si="1"/>
        <v>84</v>
      </c>
      <c r="BM7" s="290">
        <v>0.1</v>
      </c>
      <c r="BN7" s="290">
        <v>0.55000000000000004</v>
      </c>
      <c r="BO7" s="290">
        <v>120</v>
      </c>
      <c r="BP7" s="525">
        <v>657</v>
      </c>
      <c r="BQ7" s="581">
        <f t="shared" ref="BQ7" si="4">BK7*BM7*BO7</f>
        <v>1008</v>
      </c>
      <c r="BR7" s="582">
        <f t="shared" ref="BR7" si="5">BL7*BN7*BP7</f>
        <v>30353.4</v>
      </c>
      <c r="BS7" s="649"/>
    </row>
    <row r="8" spans="1:71" ht="13" x14ac:dyDescent="0.3">
      <c r="A8" s="296" t="s">
        <v>485</v>
      </c>
      <c r="B8" s="154"/>
      <c r="C8" s="277"/>
      <c r="D8" s="278"/>
      <c r="E8" s="278"/>
      <c r="F8" s="278"/>
      <c r="G8" s="278"/>
      <c r="H8" s="278"/>
      <c r="I8" s="278"/>
      <c r="J8" s="278">
        <v>1</v>
      </c>
      <c r="K8" s="278">
        <v>1</v>
      </c>
      <c r="L8" s="278">
        <v>1</v>
      </c>
      <c r="M8" s="278"/>
      <c r="N8" s="279"/>
      <c r="O8" s="278"/>
      <c r="P8" s="278"/>
      <c r="Q8" s="278"/>
      <c r="R8" s="278"/>
      <c r="S8" s="278"/>
      <c r="T8" s="278"/>
      <c r="U8" s="278"/>
      <c r="V8" s="278"/>
      <c r="W8" s="278"/>
      <c r="X8" s="278"/>
      <c r="Y8" s="278"/>
      <c r="Z8" s="279"/>
      <c r="AA8" s="278"/>
      <c r="AB8" s="278"/>
      <c r="AC8" s="278"/>
      <c r="AD8" s="278"/>
      <c r="AE8" s="278"/>
      <c r="AF8" s="278"/>
      <c r="AG8" s="278"/>
      <c r="AH8" s="278"/>
      <c r="AI8" s="278"/>
      <c r="AJ8" s="278"/>
      <c r="AK8" s="278"/>
      <c r="AL8" s="279"/>
      <c r="AM8" s="278"/>
      <c r="AN8" s="278"/>
      <c r="AO8" s="278"/>
      <c r="AP8" s="278"/>
      <c r="AQ8" s="278"/>
      <c r="AR8" s="278"/>
      <c r="AS8" s="278"/>
      <c r="AT8" s="278"/>
      <c r="AU8" s="278"/>
      <c r="AV8" s="278"/>
      <c r="AW8" s="278"/>
      <c r="AX8" s="279"/>
      <c r="AY8" s="278"/>
      <c r="AZ8" s="278"/>
      <c r="BA8" s="278"/>
      <c r="BB8" s="278"/>
      <c r="BC8" s="278"/>
      <c r="BD8" s="278"/>
      <c r="BE8" s="278"/>
      <c r="BF8" s="278"/>
      <c r="BG8" s="278"/>
      <c r="BH8" s="278"/>
      <c r="BI8" s="278"/>
      <c r="BJ8" s="279"/>
      <c r="BK8" s="583">
        <f t="shared" si="0"/>
        <v>63</v>
      </c>
      <c r="BL8" s="584">
        <f t="shared" si="1"/>
        <v>63</v>
      </c>
      <c r="BM8" s="290">
        <v>0.1</v>
      </c>
      <c r="BN8" s="290">
        <v>0.3</v>
      </c>
      <c r="BO8" s="290">
        <v>120</v>
      </c>
      <c r="BP8" s="525">
        <v>753</v>
      </c>
      <c r="BQ8" s="581">
        <f t="shared" ref="BQ8" si="6">BK8*BM8*BO8</f>
        <v>756.00000000000011</v>
      </c>
      <c r="BR8" s="582">
        <f t="shared" ref="BR8" si="7">BL8*BN8*BP8</f>
        <v>14231.699999999999</v>
      </c>
      <c r="BS8" s="649"/>
    </row>
    <row r="9" spans="1:71" ht="13" x14ac:dyDescent="0.3">
      <c r="A9" s="296" t="s">
        <v>486</v>
      </c>
      <c r="B9" s="154"/>
      <c r="C9" s="277"/>
      <c r="D9" s="278"/>
      <c r="E9" s="278"/>
      <c r="F9" s="278"/>
      <c r="G9" s="278"/>
      <c r="H9" s="278"/>
      <c r="I9" s="278"/>
      <c r="J9" s="278"/>
      <c r="K9" s="278">
        <v>1</v>
      </c>
      <c r="L9" s="278">
        <v>1</v>
      </c>
      <c r="M9" s="278"/>
      <c r="N9" s="279"/>
      <c r="O9" s="278"/>
      <c r="P9" s="278"/>
      <c r="Q9" s="278"/>
      <c r="R9" s="278"/>
      <c r="S9" s="278"/>
      <c r="T9" s="278"/>
      <c r="U9" s="278"/>
      <c r="V9" s="278"/>
      <c r="W9" s="278"/>
      <c r="X9" s="278"/>
      <c r="Y9" s="278"/>
      <c r="Z9" s="279"/>
      <c r="AA9" s="278"/>
      <c r="AB9" s="278"/>
      <c r="AC9" s="278"/>
      <c r="AD9" s="278"/>
      <c r="AE9" s="278"/>
      <c r="AF9" s="278"/>
      <c r="AG9" s="278"/>
      <c r="AH9" s="278"/>
      <c r="AI9" s="278"/>
      <c r="AJ9" s="278"/>
      <c r="AK9" s="278"/>
      <c r="AL9" s="279"/>
      <c r="AM9" s="278"/>
      <c r="AN9" s="278"/>
      <c r="AO9" s="278"/>
      <c r="AP9" s="278"/>
      <c r="AQ9" s="278"/>
      <c r="AR9" s="278"/>
      <c r="AS9" s="278"/>
      <c r="AT9" s="278"/>
      <c r="AU9" s="278"/>
      <c r="AV9" s="278"/>
      <c r="AW9" s="278"/>
      <c r="AX9" s="279"/>
      <c r="AY9" s="278"/>
      <c r="AZ9" s="278"/>
      <c r="BA9" s="278"/>
      <c r="BB9" s="278"/>
      <c r="BC9" s="278"/>
      <c r="BD9" s="278"/>
      <c r="BE9" s="278"/>
      <c r="BF9" s="278"/>
      <c r="BG9" s="278"/>
      <c r="BH9" s="278"/>
      <c r="BI9" s="278"/>
      <c r="BJ9" s="279"/>
      <c r="BK9" s="583">
        <f t="shared" si="0"/>
        <v>42</v>
      </c>
      <c r="BL9" s="584">
        <f t="shared" si="1"/>
        <v>42</v>
      </c>
      <c r="BM9" s="290">
        <v>0.2</v>
      </c>
      <c r="BN9" s="290">
        <v>0.7</v>
      </c>
      <c r="BO9" s="290">
        <v>120</v>
      </c>
      <c r="BP9" s="525">
        <v>645</v>
      </c>
      <c r="BQ9" s="581">
        <f t="shared" si="2"/>
        <v>1008</v>
      </c>
      <c r="BR9" s="582">
        <f t="shared" si="3"/>
        <v>18963</v>
      </c>
      <c r="BS9" s="649"/>
    </row>
    <row r="10" spans="1:71" ht="13.4" customHeight="1" x14ac:dyDescent="0.3">
      <c r="A10" s="296" t="s">
        <v>487</v>
      </c>
      <c r="B10" s="154"/>
      <c r="C10" s="277"/>
      <c r="D10" s="278"/>
      <c r="E10" s="278"/>
      <c r="F10" s="278"/>
      <c r="G10" s="278"/>
      <c r="H10" s="278"/>
      <c r="I10" s="278"/>
      <c r="J10" s="278"/>
      <c r="K10" s="278"/>
      <c r="L10" s="278">
        <v>1</v>
      </c>
      <c r="M10" s="278">
        <v>1</v>
      </c>
      <c r="N10" s="279"/>
      <c r="O10" s="278"/>
      <c r="P10" s="278"/>
      <c r="Q10" s="278"/>
      <c r="R10" s="278"/>
      <c r="S10" s="278"/>
      <c r="T10" s="278"/>
      <c r="U10" s="278"/>
      <c r="V10" s="278"/>
      <c r="W10" s="278"/>
      <c r="X10" s="278"/>
      <c r="Y10" s="278"/>
      <c r="Z10" s="279"/>
      <c r="AA10" s="278"/>
      <c r="AB10" s="278"/>
      <c r="AC10" s="278"/>
      <c r="AD10" s="278"/>
      <c r="AE10" s="278"/>
      <c r="AF10" s="278"/>
      <c r="AG10" s="278"/>
      <c r="AH10" s="278"/>
      <c r="AI10" s="278"/>
      <c r="AJ10" s="278"/>
      <c r="AK10" s="278"/>
      <c r="AL10" s="279"/>
      <c r="AM10" s="278"/>
      <c r="AN10" s="278"/>
      <c r="AO10" s="278"/>
      <c r="AP10" s="278"/>
      <c r="AQ10" s="278"/>
      <c r="AR10" s="278"/>
      <c r="AS10" s="278"/>
      <c r="AT10" s="278"/>
      <c r="AU10" s="278"/>
      <c r="AV10" s="278"/>
      <c r="AW10" s="278"/>
      <c r="AX10" s="279"/>
      <c r="AY10" s="278"/>
      <c r="AZ10" s="278"/>
      <c r="BA10" s="278"/>
      <c r="BB10" s="278"/>
      <c r="BC10" s="278"/>
      <c r="BD10" s="278"/>
      <c r="BE10" s="278"/>
      <c r="BF10" s="278"/>
      <c r="BG10" s="278"/>
      <c r="BH10" s="278"/>
      <c r="BI10" s="278"/>
      <c r="BJ10" s="279"/>
      <c r="BK10" s="583">
        <f t="shared" si="0"/>
        <v>42</v>
      </c>
      <c r="BL10" s="584">
        <f t="shared" si="1"/>
        <v>42</v>
      </c>
      <c r="BM10" s="290">
        <v>0.1</v>
      </c>
      <c r="BN10" s="290">
        <v>0.6</v>
      </c>
      <c r="BO10" s="290">
        <v>120</v>
      </c>
      <c r="BP10" s="525">
        <v>746</v>
      </c>
      <c r="BQ10" s="581">
        <f t="shared" si="2"/>
        <v>504</v>
      </c>
      <c r="BR10" s="582">
        <f t="shared" si="3"/>
        <v>18799.2</v>
      </c>
      <c r="BS10" s="652">
        <f>SUM(BQ5:BR10)</f>
        <v>160811.70000000001</v>
      </c>
    </row>
    <row r="11" spans="1:71" x14ac:dyDescent="0.3">
      <c r="A11" s="295" t="s">
        <v>372</v>
      </c>
      <c r="B11" s="641"/>
      <c r="C11" s="642"/>
      <c r="D11" s="643"/>
      <c r="E11" s="643"/>
      <c r="F11" s="643"/>
      <c r="G11" s="643"/>
      <c r="H11" s="643"/>
      <c r="I11" s="643"/>
      <c r="J11" s="643"/>
      <c r="K11" s="643"/>
      <c r="L11" s="643"/>
      <c r="M11" s="643"/>
      <c r="N11" s="644"/>
      <c r="O11" s="643"/>
      <c r="P11" s="643"/>
      <c r="Q11" s="643"/>
      <c r="R11" s="643"/>
      <c r="S11" s="643"/>
      <c r="T11" s="643"/>
      <c r="U11" s="643"/>
      <c r="V11" s="643"/>
      <c r="W11" s="643"/>
      <c r="X11" s="643"/>
      <c r="Y11" s="643"/>
      <c r="Z11" s="644"/>
      <c r="AA11" s="643"/>
      <c r="AB11" s="643"/>
      <c r="AC11" s="643"/>
      <c r="AD11" s="643"/>
      <c r="AE11" s="643"/>
      <c r="AF11" s="643"/>
      <c r="AG11" s="643"/>
      <c r="AH11" s="643"/>
      <c r="AI11" s="643"/>
      <c r="AJ11" s="643"/>
      <c r="AK11" s="643"/>
      <c r="AL11" s="644"/>
      <c r="AM11" s="643"/>
      <c r="AN11" s="643"/>
      <c r="AO11" s="643"/>
      <c r="AP11" s="643"/>
      <c r="AQ11" s="643"/>
      <c r="AR11" s="643"/>
      <c r="AS11" s="643"/>
      <c r="AT11" s="643"/>
      <c r="AU11" s="643"/>
      <c r="AV11" s="643"/>
      <c r="AW11" s="643"/>
      <c r="AX11" s="644"/>
      <c r="AY11" s="643"/>
      <c r="AZ11" s="643"/>
      <c r="BA11" s="643"/>
      <c r="BB11" s="643"/>
      <c r="BC11" s="643"/>
      <c r="BD11" s="643"/>
      <c r="BE11" s="643"/>
      <c r="BF11" s="643"/>
      <c r="BG11" s="643"/>
      <c r="BH11" s="643"/>
      <c r="BI11" s="643"/>
      <c r="BJ11" s="644"/>
      <c r="BK11" s="527"/>
      <c r="BL11" s="528"/>
      <c r="BM11" s="275"/>
      <c r="BN11" s="275"/>
      <c r="BO11" s="275"/>
      <c r="BP11" s="526"/>
      <c r="BQ11" s="581"/>
      <c r="BR11" s="582"/>
      <c r="BS11" s="649"/>
    </row>
    <row r="12" spans="1:71" ht="13" x14ac:dyDescent="0.3">
      <c r="A12" s="296" t="s">
        <v>488</v>
      </c>
      <c r="B12" s="154"/>
      <c r="C12" s="277">
        <v>1</v>
      </c>
      <c r="D12" s="278">
        <v>1</v>
      </c>
      <c r="E12" s="278">
        <v>1</v>
      </c>
      <c r="F12" s="278"/>
      <c r="G12" s="278"/>
      <c r="H12" s="278"/>
      <c r="I12" s="278"/>
      <c r="J12" s="278"/>
      <c r="K12" s="278"/>
      <c r="L12" s="278"/>
      <c r="M12" s="278"/>
      <c r="N12" s="279"/>
      <c r="O12" s="278"/>
      <c r="P12" s="278"/>
      <c r="Q12" s="278"/>
      <c r="R12" s="278"/>
      <c r="S12" s="278"/>
      <c r="T12" s="278"/>
      <c r="U12" s="278"/>
      <c r="V12" s="278"/>
      <c r="W12" s="278"/>
      <c r="X12" s="278"/>
      <c r="Y12" s="278"/>
      <c r="Z12" s="279"/>
      <c r="AA12" s="278"/>
      <c r="AB12" s="278"/>
      <c r="AC12" s="278"/>
      <c r="AD12" s="278"/>
      <c r="AE12" s="278"/>
      <c r="AF12" s="278"/>
      <c r="AG12" s="278"/>
      <c r="AH12" s="278"/>
      <c r="AI12" s="278"/>
      <c r="AJ12" s="278"/>
      <c r="AK12" s="278"/>
      <c r="AL12" s="279"/>
      <c r="AM12" s="278"/>
      <c r="AN12" s="278"/>
      <c r="AO12" s="278"/>
      <c r="AP12" s="278"/>
      <c r="AQ12" s="278"/>
      <c r="AR12" s="278"/>
      <c r="AS12" s="278"/>
      <c r="AT12" s="278"/>
      <c r="AU12" s="278"/>
      <c r="AV12" s="278"/>
      <c r="AW12" s="278"/>
      <c r="AX12" s="279"/>
      <c r="AY12" s="278"/>
      <c r="AZ12" s="278"/>
      <c r="BA12" s="278"/>
      <c r="BB12" s="278"/>
      <c r="BC12" s="278"/>
      <c r="BD12" s="278"/>
      <c r="BE12" s="278"/>
      <c r="BF12" s="278"/>
      <c r="BG12" s="278"/>
      <c r="BH12" s="278"/>
      <c r="BI12" s="278"/>
      <c r="BJ12" s="279"/>
      <c r="BK12" s="583">
        <f t="shared" ref="BK12:BK17" si="8">COUNTA(C12:AX12)*21</f>
        <v>63</v>
      </c>
      <c r="BL12" s="584">
        <f t="shared" ref="BL12:BL17" si="9">COUNTA(C12:AX12)*21</f>
        <v>63</v>
      </c>
      <c r="BM12" s="290">
        <v>0.2</v>
      </c>
      <c r="BN12" s="290">
        <v>0.7</v>
      </c>
      <c r="BO12" s="290">
        <v>120</v>
      </c>
      <c r="BP12" s="525">
        <v>743</v>
      </c>
      <c r="BQ12" s="581">
        <f t="shared" si="2"/>
        <v>1512.0000000000002</v>
      </c>
      <c r="BR12" s="582">
        <f t="shared" si="3"/>
        <v>32766.299999999996</v>
      </c>
      <c r="BS12" s="649"/>
    </row>
    <row r="13" spans="1:71" ht="13" x14ac:dyDescent="0.3">
      <c r="A13" s="296" t="s">
        <v>374</v>
      </c>
      <c r="B13" s="154"/>
      <c r="C13" s="277"/>
      <c r="D13" s="278">
        <v>1</v>
      </c>
      <c r="E13" s="278">
        <v>1</v>
      </c>
      <c r="F13" s="278">
        <v>1</v>
      </c>
      <c r="G13" s="278"/>
      <c r="H13" s="278"/>
      <c r="I13" s="278"/>
      <c r="J13" s="278"/>
      <c r="K13" s="278"/>
      <c r="L13" s="278"/>
      <c r="M13" s="278"/>
      <c r="N13" s="279"/>
      <c r="O13" s="278"/>
      <c r="P13" s="278"/>
      <c r="Q13" s="278"/>
      <c r="R13" s="278"/>
      <c r="S13" s="278"/>
      <c r="T13" s="278"/>
      <c r="U13" s="278"/>
      <c r="V13" s="278"/>
      <c r="W13" s="278"/>
      <c r="X13" s="278"/>
      <c r="Y13" s="278"/>
      <c r="Z13" s="279"/>
      <c r="AA13" s="278"/>
      <c r="AB13" s="278"/>
      <c r="AC13" s="278"/>
      <c r="AD13" s="278"/>
      <c r="AE13" s="278"/>
      <c r="AF13" s="278"/>
      <c r="AG13" s="278"/>
      <c r="AH13" s="278"/>
      <c r="AI13" s="278"/>
      <c r="AJ13" s="278"/>
      <c r="AK13" s="278"/>
      <c r="AL13" s="279"/>
      <c r="AM13" s="278"/>
      <c r="AN13" s="278"/>
      <c r="AO13" s="278"/>
      <c r="AP13" s="278"/>
      <c r="AQ13" s="278"/>
      <c r="AR13" s="278"/>
      <c r="AS13" s="278"/>
      <c r="AT13" s="278"/>
      <c r="AU13" s="278"/>
      <c r="AV13" s="278"/>
      <c r="AW13" s="278"/>
      <c r="AX13" s="279"/>
      <c r="AY13" s="278"/>
      <c r="AZ13" s="278"/>
      <c r="BA13" s="278"/>
      <c r="BB13" s="278"/>
      <c r="BC13" s="278"/>
      <c r="BD13" s="278"/>
      <c r="BE13" s="278"/>
      <c r="BF13" s="278"/>
      <c r="BG13" s="278"/>
      <c r="BH13" s="278"/>
      <c r="BI13" s="278"/>
      <c r="BJ13" s="279"/>
      <c r="BK13" s="583">
        <f t="shared" si="8"/>
        <v>63</v>
      </c>
      <c r="BL13" s="584">
        <f t="shared" si="9"/>
        <v>63</v>
      </c>
      <c r="BM13" s="290">
        <v>0.2</v>
      </c>
      <c r="BN13" s="290">
        <v>0.6</v>
      </c>
      <c r="BO13" s="290">
        <v>120</v>
      </c>
      <c r="BP13" s="525">
        <v>740</v>
      </c>
      <c r="BQ13" s="581">
        <f t="shared" si="2"/>
        <v>1512.0000000000002</v>
      </c>
      <c r="BR13" s="582">
        <f t="shared" si="3"/>
        <v>27971.999999999996</v>
      </c>
      <c r="BS13" s="650"/>
    </row>
    <row r="14" spans="1:71" ht="13" x14ac:dyDescent="0.3">
      <c r="A14" s="296" t="s">
        <v>489</v>
      </c>
      <c r="B14" s="154"/>
      <c r="C14" s="277"/>
      <c r="D14" s="278"/>
      <c r="E14" s="278"/>
      <c r="F14" s="278"/>
      <c r="G14" s="278">
        <v>1</v>
      </c>
      <c r="H14" s="278">
        <v>1</v>
      </c>
      <c r="I14" s="278">
        <v>1</v>
      </c>
      <c r="J14" s="278">
        <v>1</v>
      </c>
      <c r="K14" s="278"/>
      <c r="L14" s="278"/>
      <c r="M14" s="278"/>
      <c r="N14" s="279"/>
      <c r="O14" s="278"/>
      <c r="P14" s="278"/>
      <c r="Q14" s="278"/>
      <c r="R14" s="278"/>
      <c r="S14" s="278"/>
      <c r="T14" s="278"/>
      <c r="U14" s="278"/>
      <c r="V14" s="278"/>
      <c r="W14" s="278"/>
      <c r="X14" s="278"/>
      <c r="Y14" s="278"/>
      <c r="Z14" s="279"/>
      <c r="AA14" s="278"/>
      <c r="AB14" s="278"/>
      <c r="AC14" s="278"/>
      <c r="AD14" s="278"/>
      <c r="AE14" s="278"/>
      <c r="AF14" s="278"/>
      <c r="AG14" s="278"/>
      <c r="AH14" s="278"/>
      <c r="AI14" s="278"/>
      <c r="AJ14" s="278"/>
      <c r="AK14" s="278"/>
      <c r="AL14" s="279"/>
      <c r="AM14" s="278"/>
      <c r="AN14" s="278"/>
      <c r="AO14" s="278"/>
      <c r="AP14" s="278"/>
      <c r="AQ14" s="278"/>
      <c r="AR14" s="278"/>
      <c r="AS14" s="278"/>
      <c r="AT14" s="278"/>
      <c r="AU14" s="278"/>
      <c r="AV14" s="278"/>
      <c r="AW14" s="278"/>
      <c r="AX14" s="279"/>
      <c r="AY14" s="278"/>
      <c r="AZ14" s="278"/>
      <c r="BA14" s="278"/>
      <c r="BB14" s="278"/>
      <c r="BC14" s="278"/>
      <c r="BD14" s="278"/>
      <c r="BE14" s="278"/>
      <c r="BF14" s="278"/>
      <c r="BG14" s="278"/>
      <c r="BH14" s="278"/>
      <c r="BI14" s="278"/>
      <c r="BJ14" s="279"/>
      <c r="BK14" s="583">
        <f t="shared" si="8"/>
        <v>84</v>
      </c>
      <c r="BL14" s="584">
        <f t="shared" si="9"/>
        <v>84</v>
      </c>
      <c r="BM14" s="290">
        <v>0.1</v>
      </c>
      <c r="BN14" s="290">
        <v>0.55000000000000004</v>
      </c>
      <c r="BO14" s="290">
        <v>120</v>
      </c>
      <c r="BP14" s="525">
        <v>657</v>
      </c>
      <c r="BQ14" s="581">
        <f t="shared" ref="BQ14:BQ15" si="10">BK14*BM14*BO14</f>
        <v>1008</v>
      </c>
      <c r="BR14" s="582">
        <f t="shared" ref="BR14:BR15" si="11">BL14*BN14*BP14</f>
        <v>30353.4</v>
      </c>
      <c r="BS14" s="155"/>
    </row>
    <row r="15" spans="1:71" ht="13" x14ac:dyDescent="0.3">
      <c r="A15" s="296" t="s">
        <v>490</v>
      </c>
      <c r="B15" s="154"/>
      <c r="C15" s="277"/>
      <c r="D15" s="278"/>
      <c r="E15" s="278"/>
      <c r="F15" s="278"/>
      <c r="G15" s="278"/>
      <c r="H15" s="278"/>
      <c r="I15" s="278"/>
      <c r="J15" s="278">
        <v>1</v>
      </c>
      <c r="K15" s="278">
        <v>1</v>
      </c>
      <c r="L15" s="278">
        <v>1</v>
      </c>
      <c r="M15" s="278"/>
      <c r="N15" s="279"/>
      <c r="O15" s="278"/>
      <c r="P15" s="278"/>
      <c r="Q15" s="278"/>
      <c r="R15" s="278"/>
      <c r="S15" s="278"/>
      <c r="T15" s="278"/>
      <c r="U15" s="278"/>
      <c r="V15" s="278"/>
      <c r="W15" s="278"/>
      <c r="X15" s="278"/>
      <c r="Y15" s="278"/>
      <c r="Z15" s="279"/>
      <c r="AA15" s="278"/>
      <c r="AB15" s="278"/>
      <c r="AC15" s="278"/>
      <c r="AD15" s="278"/>
      <c r="AE15" s="278"/>
      <c r="AF15" s="278"/>
      <c r="AG15" s="278"/>
      <c r="AH15" s="278"/>
      <c r="AI15" s="278"/>
      <c r="AJ15" s="278"/>
      <c r="AK15" s="278"/>
      <c r="AL15" s="279"/>
      <c r="AM15" s="278"/>
      <c r="AN15" s="278"/>
      <c r="AO15" s="278"/>
      <c r="AP15" s="278"/>
      <c r="AQ15" s="278"/>
      <c r="AR15" s="278"/>
      <c r="AS15" s="278"/>
      <c r="AT15" s="278"/>
      <c r="AU15" s="278"/>
      <c r="AV15" s="278"/>
      <c r="AW15" s="278"/>
      <c r="AX15" s="279"/>
      <c r="AY15" s="278"/>
      <c r="AZ15" s="278"/>
      <c r="BA15" s="278"/>
      <c r="BB15" s="278"/>
      <c r="BC15" s="278"/>
      <c r="BD15" s="278"/>
      <c r="BE15" s="278"/>
      <c r="BF15" s="278"/>
      <c r="BG15" s="278"/>
      <c r="BH15" s="278"/>
      <c r="BI15" s="278"/>
      <c r="BJ15" s="279"/>
      <c r="BK15" s="583">
        <f t="shared" si="8"/>
        <v>63</v>
      </c>
      <c r="BL15" s="584">
        <f t="shared" si="9"/>
        <v>63</v>
      </c>
      <c r="BM15" s="290">
        <v>0.1</v>
      </c>
      <c r="BN15" s="290">
        <v>0.3</v>
      </c>
      <c r="BO15" s="290">
        <v>120</v>
      </c>
      <c r="BP15" s="525">
        <v>753</v>
      </c>
      <c r="BQ15" s="581">
        <f t="shared" si="10"/>
        <v>756.00000000000011</v>
      </c>
      <c r="BR15" s="582">
        <f t="shared" si="11"/>
        <v>14231.699999999999</v>
      </c>
      <c r="BS15" s="155"/>
    </row>
    <row r="16" spans="1:71" ht="13" x14ac:dyDescent="0.3">
      <c r="A16" s="296" t="s">
        <v>491</v>
      </c>
      <c r="B16" s="154"/>
      <c r="C16" s="277"/>
      <c r="D16" s="278"/>
      <c r="E16" s="278"/>
      <c r="F16" s="278"/>
      <c r="G16" s="278"/>
      <c r="H16" s="278"/>
      <c r="I16" s="278"/>
      <c r="J16" s="278"/>
      <c r="K16" s="278">
        <v>1</v>
      </c>
      <c r="L16" s="278">
        <v>1</v>
      </c>
      <c r="M16" s="278"/>
      <c r="N16" s="279"/>
      <c r="O16" s="278"/>
      <c r="P16" s="278"/>
      <c r="Q16" s="278"/>
      <c r="R16" s="278"/>
      <c r="S16" s="278"/>
      <c r="T16" s="278"/>
      <c r="U16" s="278"/>
      <c r="V16" s="278"/>
      <c r="W16" s="278"/>
      <c r="X16" s="278"/>
      <c r="Y16" s="278"/>
      <c r="Z16" s="279"/>
      <c r="AA16" s="278"/>
      <c r="AB16" s="278"/>
      <c r="AC16" s="278"/>
      <c r="AD16" s="278"/>
      <c r="AE16" s="278"/>
      <c r="AF16" s="278"/>
      <c r="AG16" s="278"/>
      <c r="AH16" s="278"/>
      <c r="AI16" s="278"/>
      <c r="AJ16" s="278"/>
      <c r="AK16" s="278"/>
      <c r="AL16" s="279"/>
      <c r="AM16" s="278"/>
      <c r="AN16" s="278"/>
      <c r="AO16" s="278"/>
      <c r="AP16" s="278"/>
      <c r="AQ16" s="278"/>
      <c r="AR16" s="278"/>
      <c r="AS16" s="278"/>
      <c r="AT16" s="278"/>
      <c r="AU16" s="278"/>
      <c r="AV16" s="278"/>
      <c r="AW16" s="278"/>
      <c r="AX16" s="279"/>
      <c r="AY16" s="278"/>
      <c r="AZ16" s="278"/>
      <c r="BA16" s="278"/>
      <c r="BB16" s="278"/>
      <c r="BC16" s="278"/>
      <c r="BD16" s="278"/>
      <c r="BE16" s="278"/>
      <c r="BF16" s="278"/>
      <c r="BG16" s="278"/>
      <c r="BH16" s="278"/>
      <c r="BI16" s="278"/>
      <c r="BJ16" s="279"/>
      <c r="BK16" s="583">
        <f t="shared" si="8"/>
        <v>42</v>
      </c>
      <c r="BL16" s="584">
        <f t="shared" si="9"/>
        <v>42</v>
      </c>
      <c r="BM16" s="290">
        <v>0.2</v>
      </c>
      <c r="BN16" s="290">
        <v>0.7</v>
      </c>
      <c r="BO16" s="290">
        <v>120</v>
      </c>
      <c r="BP16" s="525">
        <v>645</v>
      </c>
      <c r="BQ16" s="581">
        <f t="shared" si="2"/>
        <v>1008</v>
      </c>
      <c r="BR16" s="582">
        <f t="shared" si="3"/>
        <v>18963</v>
      </c>
      <c r="BS16" s="155"/>
    </row>
    <row r="17" spans="1:71" ht="13" x14ac:dyDescent="0.3">
      <c r="A17" s="296" t="s">
        <v>492</v>
      </c>
      <c r="B17" s="154"/>
      <c r="C17" s="277"/>
      <c r="D17" s="278"/>
      <c r="E17" s="278"/>
      <c r="F17" s="278"/>
      <c r="G17" s="278"/>
      <c r="H17" s="278"/>
      <c r="I17" s="278"/>
      <c r="J17" s="278"/>
      <c r="K17" s="278"/>
      <c r="L17" s="278">
        <v>1</v>
      </c>
      <c r="M17" s="278">
        <v>1</v>
      </c>
      <c r="N17" s="279"/>
      <c r="O17" s="278"/>
      <c r="P17" s="278"/>
      <c r="Q17" s="278"/>
      <c r="R17" s="278"/>
      <c r="S17" s="278"/>
      <c r="T17" s="278"/>
      <c r="U17" s="278"/>
      <c r="V17" s="278"/>
      <c r="W17" s="278"/>
      <c r="X17" s="278"/>
      <c r="Y17" s="278"/>
      <c r="Z17" s="279"/>
      <c r="AA17" s="278"/>
      <c r="AB17" s="278"/>
      <c r="AC17" s="278"/>
      <c r="AD17" s="278"/>
      <c r="AE17" s="278"/>
      <c r="AF17" s="278"/>
      <c r="AG17" s="278"/>
      <c r="AH17" s="278"/>
      <c r="AI17" s="278"/>
      <c r="AJ17" s="278"/>
      <c r="AK17" s="278"/>
      <c r="AL17" s="279"/>
      <c r="AM17" s="278"/>
      <c r="AN17" s="278"/>
      <c r="AO17" s="278"/>
      <c r="AP17" s="278"/>
      <c r="AQ17" s="278"/>
      <c r="AR17" s="278"/>
      <c r="AS17" s="278"/>
      <c r="AT17" s="278"/>
      <c r="AU17" s="278"/>
      <c r="AV17" s="278"/>
      <c r="AW17" s="278"/>
      <c r="AX17" s="279"/>
      <c r="AY17" s="278"/>
      <c r="AZ17" s="278"/>
      <c r="BA17" s="278"/>
      <c r="BB17" s="278"/>
      <c r="BC17" s="278"/>
      <c r="BD17" s="278"/>
      <c r="BE17" s="278"/>
      <c r="BF17" s="278"/>
      <c r="BG17" s="278"/>
      <c r="BH17" s="278"/>
      <c r="BI17" s="278"/>
      <c r="BJ17" s="279"/>
      <c r="BK17" s="583">
        <f t="shared" si="8"/>
        <v>42</v>
      </c>
      <c r="BL17" s="584">
        <f t="shared" si="9"/>
        <v>42</v>
      </c>
      <c r="BM17" s="290">
        <v>0.1</v>
      </c>
      <c r="BN17" s="290">
        <v>0.6</v>
      </c>
      <c r="BO17" s="290">
        <v>120</v>
      </c>
      <c r="BP17" s="525">
        <v>746</v>
      </c>
      <c r="BQ17" s="581">
        <f t="shared" si="2"/>
        <v>504</v>
      </c>
      <c r="BR17" s="582">
        <f t="shared" si="3"/>
        <v>18799.2</v>
      </c>
      <c r="BS17" s="653">
        <f>SUM(BQ12:BR17)</f>
        <v>149385.59999999998</v>
      </c>
    </row>
    <row r="18" spans="1:71" x14ac:dyDescent="0.3">
      <c r="A18" s="295" t="s">
        <v>368</v>
      </c>
      <c r="B18" s="641"/>
      <c r="C18" s="642"/>
      <c r="D18" s="643"/>
      <c r="E18" s="643"/>
      <c r="F18" s="643"/>
      <c r="G18" s="643"/>
      <c r="H18" s="643"/>
      <c r="I18" s="643"/>
      <c r="J18" s="643"/>
      <c r="K18" s="643"/>
      <c r="L18" s="643"/>
      <c r="M18" s="643"/>
      <c r="N18" s="644"/>
      <c r="O18" s="643"/>
      <c r="P18" s="643"/>
      <c r="Q18" s="643"/>
      <c r="R18" s="643"/>
      <c r="S18" s="643"/>
      <c r="T18" s="643"/>
      <c r="U18" s="643"/>
      <c r="V18" s="643"/>
      <c r="W18" s="643"/>
      <c r="X18" s="643"/>
      <c r="Y18" s="643"/>
      <c r="Z18" s="644"/>
      <c r="AA18" s="643"/>
      <c r="AB18" s="643"/>
      <c r="AC18" s="643"/>
      <c r="AD18" s="643"/>
      <c r="AE18" s="643"/>
      <c r="AF18" s="643"/>
      <c r="AG18" s="643"/>
      <c r="AH18" s="643"/>
      <c r="AI18" s="643"/>
      <c r="AJ18" s="643"/>
      <c r="AK18" s="643"/>
      <c r="AL18" s="644"/>
      <c r="AM18" s="643"/>
      <c r="AN18" s="643"/>
      <c r="AO18" s="643"/>
      <c r="AP18" s="643"/>
      <c r="AQ18" s="643"/>
      <c r="AR18" s="643"/>
      <c r="AS18" s="643"/>
      <c r="AT18" s="643"/>
      <c r="AU18" s="643"/>
      <c r="AV18" s="643"/>
      <c r="AW18" s="643"/>
      <c r="AX18" s="644"/>
      <c r="AY18" s="643"/>
      <c r="AZ18" s="643"/>
      <c r="BA18" s="643"/>
      <c r="BB18" s="643"/>
      <c r="BC18" s="643"/>
      <c r="BD18" s="643"/>
      <c r="BE18" s="643"/>
      <c r="BF18" s="643"/>
      <c r="BG18" s="643"/>
      <c r="BH18" s="643"/>
      <c r="BI18" s="643"/>
      <c r="BJ18" s="644"/>
      <c r="BK18" s="527"/>
      <c r="BL18" s="528"/>
      <c r="BM18" s="275"/>
      <c r="BN18" s="275"/>
      <c r="BO18" s="275"/>
      <c r="BP18" s="526"/>
      <c r="BQ18" s="581"/>
      <c r="BR18" s="582"/>
      <c r="BS18" s="155"/>
    </row>
    <row r="19" spans="1:71" ht="13.9" customHeight="1" x14ac:dyDescent="0.3">
      <c r="A19" s="296" t="s">
        <v>493</v>
      </c>
      <c r="B19" s="154"/>
      <c r="C19" s="277">
        <v>1</v>
      </c>
      <c r="D19" s="278">
        <v>1</v>
      </c>
      <c r="E19" s="278">
        <v>1</v>
      </c>
      <c r="F19" s="278"/>
      <c r="G19" s="278"/>
      <c r="H19" s="278"/>
      <c r="I19" s="278"/>
      <c r="J19" s="278"/>
      <c r="K19" s="278"/>
      <c r="L19" s="278"/>
      <c r="M19" s="278"/>
      <c r="N19" s="279"/>
      <c r="O19" s="278"/>
      <c r="P19" s="278"/>
      <c r="Q19" s="278"/>
      <c r="R19" s="278"/>
      <c r="S19" s="278"/>
      <c r="T19" s="278"/>
      <c r="U19" s="278"/>
      <c r="V19" s="278"/>
      <c r="W19" s="278"/>
      <c r="X19" s="278"/>
      <c r="Y19" s="278"/>
      <c r="Z19" s="279"/>
      <c r="AA19" s="278"/>
      <c r="AB19" s="278"/>
      <c r="AC19" s="278"/>
      <c r="AD19" s="278"/>
      <c r="AE19" s="278"/>
      <c r="AF19" s="278"/>
      <c r="AG19" s="278"/>
      <c r="AH19" s="278"/>
      <c r="AI19" s="278"/>
      <c r="AJ19" s="278"/>
      <c r="AK19" s="278"/>
      <c r="AL19" s="279"/>
      <c r="AM19" s="278"/>
      <c r="AN19" s="278"/>
      <c r="AO19" s="278"/>
      <c r="AP19" s="278"/>
      <c r="AQ19" s="278"/>
      <c r="AR19" s="278"/>
      <c r="AS19" s="278"/>
      <c r="AT19" s="278"/>
      <c r="AU19" s="278"/>
      <c r="AV19" s="278"/>
      <c r="AW19" s="278"/>
      <c r="AX19" s="279"/>
      <c r="AY19" s="278"/>
      <c r="AZ19" s="278"/>
      <c r="BA19" s="278"/>
      <c r="BB19" s="278"/>
      <c r="BC19" s="278"/>
      <c r="BD19" s="278"/>
      <c r="BE19" s="278"/>
      <c r="BF19" s="278"/>
      <c r="BG19" s="278"/>
      <c r="BH19" s="278"/>
      <c r="BI19" s="278"/>
      <c r="BJ19" s="279"/>
      <c r="BK19" s="583">
        <f t="shared" ref="BK19:BK25" si="12">COUNTA(C19:AX19)*21</f>
        <v>63</v>
      </c>
      <c r="BL19" s="584">
        <f t="shared" ref="BL19:BL25" si="13">COUNTA(C19:AX19)*21</f>
        <v>63</v>
      </c>
      <c r="BM19" s="290">
        <v>0.2</v>
      </c>
      <c r="BN19" s="290">
        <v>0.7</v>
      </c>
      <c r="BO19" s="290">
        <v>120</v>
      </c>
      <c r="BP19" s="525">
        <v>743</v>
      </c>
      <c r="BQ19" s="581">
        <f t="shared" si="2"/>
        <v>1512.0000000000002</v>
      </c>
      <c r="BR19" s="582">
        <f t="shared" si="3"/>
        <v>32766.299999999996</v>
      </c>
      <c r="BS19" s="155"/>
    </row>
    <row r="20" spans="1:71" ht="13" x14ac:dyDescent="0.3">
      <c r="A20" s="296" t="s">
        <v>494</v>
      </c>
      <c r="B20" s="154"/>
      <c r="C20" s="277"/>
      <c r="D20" s="278">
        <v>1</v>
      </c>
      <c r="E20" s="278">
        <v>1</v>
      </c>
      <c r="F20" s="278">
        <v>1</v>
      </c>
      <c r="G20" s="278"/>
      <c r="H20" s="278"/>
      <c r="I20" s="278"/>
      <c r="J20" s="278"/>
      <c r="K20" s="278"/>
      <c r="L20" s="278"/>
      <c r="M20" s="278"/>
      <c r="N20" s="279"/>
      <c r="O20" s="278"/>
      <c r="P20" s="278"/>
      <c r="Q20" s="278"/>
      <c r="R20" s="278"/>
      <c r="S20" s="278"/>
      <c r="T20" s="278"/>
      <c r="U20" s="278"/>
      <c r="V20" s="278"/>
      <c r="W20" s="278"/>
      <c r="X20" s="278"/>
      <c r="Y20" s="278"/>
      <c r="Z20" s="279"/>
      <c r="AA20" s="278"/>
      <c r="AB20" s="278"/>
      <c r="AC20" s="278"/>
      <c r="AD20" s="278"/>
      <c r="AE20" s="278"/>
      <c r="AF20" s="278"/>
      <c r="AG20" s="278"/>
      <c r="AH20" s="278"/>
      <c r="AI20" s="278"/>
      <c r="AJ20" s="278"/>
      <c r="AK20" s="278"/>
      <c r="AL20" s="279"/>
      <c r="AM20" s="278"/>
      <c r="AN20" s="278"/>
      <c r="AO20" s="278"/>
      <c r="AP20" s="278"/>
      <c r="AQ20" s="278"/>
      <c r="AR20" s="278"/>
      <c r="AS20" s="278"/>
      <c r="AT20" s="278"/>
      <c r="AU20" s="278"/>
      <c r="AV20" s="278"/>
      <c r="AW20" s="278"/>
      <c r="AX20" s="279"/>
      <c r="AY20" s="278"/>
      <c r="AZ20" s="278"/>
      <c r="BA20" s="278"/>
      <c r="BB20" s="278"/>
      <c r="BC20" s="278"/>
      <c r="BD20" s="278"/>
      <c r="BE20" s="278"/>
      <c r="BF20" s="278"/>
      <c r="BG20" s="278"/>
      <c r="BH20" s="278"/>
      <c r="BI20" s="278"/>
      <c r="BJ20" s="279"/>
      <c r="BK20" s="583">
        <f t="shared" si="12"/>
        <v>63</v>
      </c>
      <c r="BL20" s="584">
        <f t="shared" si="13"/>
        <v>63</v>
      </c>
      <c r="BM20" s="290">
        <v>0.2</v>
      </c>
      <c r="BN20" s="290">
        <v>0.5</v>
      </c>
      <c r="BO20" s="290">
        <v>120</v>
      </c>
      <c r="BP20" s="525">
        <v>740</v>
      </c>
      <c r="BQ20" s="581">
        <f t="shared" ref="BQ20:BQ24" si="14">BK20*BM20*BO20</f>
        <v>1512.0000000000002</v>
      </c>
      <c r="BR20" s="582">
        <f t="shared" ref="BR20:BR24" si="15">BL20*BN20*BP20</f>
        <v>23310</v>
      </c>
      <c r="BS20" s="155"/>
    </row>
    <row r="21" spans="1:71" ht="13" x14ac:dyDescent="0.3">
      <c r="A21" s="296" t="s">
        <v>495</v>
      </c>
      <c r="B21" s="154"/>
      <c r="C21" s="277"/>
      <c r="D21" s="278"/>
      <c r="E21" s="278"/>
      <c r="F21" s="278"/>
      <c r="G21" s="278">
        <v>1</v>
      </c>
      <c r="H21" s="278">
        <v>1</v>
      </c>
      <c r="I21" s="278">
        <v>1</v>
      </c>
      <c r="J21" s="278"/>
      <c r="K21" s="278"/>
      <c r="L21" s="278"/>
      <c r="M21" s="278"/>
      <c r="N21" s="279"/>
      <c r="O21" s="278"/>
      <c r="P21" s="278"/>
      <c r="Q21" s="278"/>
      <c r="R21" s="278"/>
      <c r="S21" s="278"/>
      <c r="T21" s="278"/>
      <c r="U21" s="278"/>
      <c r="V21" s="278"/>
      <c r="W21" s="278"/>
      <c r="X21" s="278"/>
      <c r="Y21" s="278"/>
      <c r="Z21" s="279"/>
      <c r="AA21" s="278"/>
      <c r="AB21" s="278"/>
      <c r="AC21" s="278"/>
      <c r="AD21" s="278"/>
      <c r="AE21" s="278"/>
      <c r="AF21" s="278"/>
      <c r="AG21" s="278"/>
      <c r="AH21" s="278"/>
      <c r="AI21" s="278"/>
      <c r="AJ21" s="278"/>
      <c r="AK21" s="278"/>
      <c r="AL21" s="279"/>
      <c r="AM21" s="278"/>
      <c r="AN21" s="278"/>
      <c r="AO21" s="278"/>
      <c r="AP21" s="278"/>
      <c r="AQ21" s="278"/>
      <c r="AR21" s="278"/>
      <c r="AS21" s="278"/>
      <c r="AT21" s="278"/>
      <c r="AU21" s="278"/>
      <c r="AV21" s="278"/>
      <c r="AW21" s="278"/>
      <c r="AX21" s="279"/>
      <c r="AY21" s="278"/>
      <c r="AZ21" s="278"/>
      <c r="BA21" s="278"/>
      <c r="BB21" s="278"/>
      <c r="BC21" s="278"/>
      <c r="BD21" s="278"/>
      <c r="BE21" s="278"/>
      <c r="BF21" s="278"/>
      <c r="BG21" s="278"/>
      <c r="BH21" s="278"/>
      <c r="BI21" s="278"/>
      <c r="BJ21" s="279"/>
      <c r="BK21" s="583">
        <f t="shared" si="12"/>
        <v>63</v>
      </c>
      <c r="BL21" s="584">
        <f t="shared" si="13"/>
        <v>63</v>
      </c>
      <c r="BM21" s="290">
        <v>0.1</v>
      </c>
      <c r="BN21" s="290">
        <v>0.55000000000000004</v>
      </c>
      <c r="BO21" s="290">
        <v>120</v>
      </c>
      <c r="BP21" s="525">
        <v>657</v>
      </c>
      <c r="BQ21" s="581">
        <f t="shared" si="14"/>
        <v>756.00000000000011</v>
      </c>
      <c r="BR21" s="582">
        <f t="shared" si="15"/>
        <v>22765.050000000003</v>
      </c>
      <c r="BS21" s="155"/>
    </row>
    <row r="22" spans="1:71" ht="13" x14ac:dyDescent="0.3">
      <c r="A22" s="296" t="s">
        <v>496</v>
      </c>
      <c r="B22" s="154"/>
      <c r="C22" s="277"/>
      <c r="D22" s="278"/>
      <c r="E22" s="278"/>
      <c r="F22" s="278"/>
      <c r="G22" s="278">
        <v>1</v>
      </c>
      <c r="H22" s="278">
        <v>1</v>
      </c>
      <c r="I22" s="278">
        <v>1</v>
      </c>
      <c r="J22" s="278"/>
      <c r="K22" s="278"/>
      <c r="L22" s="278"/>
      <c r="M22" s="278"/>
      <c r="N22" s="279"/>
      <c r="O22" s="278"/>
      <c r="P22" s="278"/>
      <c r="Q22" s="278"/>
      <c r="R22" s="278"/>
      <c r="S22" s="278"/>
      <c r="T22" s="278"/>
      <c r="U22" s="278"/>
      <c r="V22" s="278"/>
      <c r="W22" s="278"/>
      <c r="X22" s="278"/>
      <c r="Y22" s="278"/>
      <c r="Z22" s="279"/>
      <c r="AA22" s="278"/>
      <c r="AB22" s="278"/>
      <c r="AC22" s="278"/>
      <c r="AD22" s="278"/>
      <c r="AE22" s="278"/>
      <c r="AF22" s="278"/>
      <c r="AG22" s="278"/>
      <c r="AH22" s="278"/>
      <c r="AI22" s="278"/>
      <c r="AJ22" s="278"/>
      <c r="AK22" s="278"/>
      <c r="AL22" s="279"/>
      <c r="AM22" s="278"/>
      <c r="AN22" s="278"/>
      <c r="AO22" s="278"/>
      <c r="AP22" s="278"/>
      <c r="AQ22" s="278"/>
      <c r="AR22" s="278"/>
      <c r="AS22" s="278"/>
      <c r="AT22" s="278"/>
      <c r="AU22" s="278"/>
      <c r="AV22" s="278"/>
      <c r="AW22" s="278"/>
      <c r="AX22" s="279"/>
      <c r="AY22" s="278"/>
      <c r="AZ22" s="278"/>
      <c r="BA22" s="278"/>
      <c r="BB22" s="278"/>
      <c r="BC22" s="278"/>
      <c r="BD22" s="278"/>
      <c r="BE22" s="278"/>
      <c r="BF22" s="278"/>
      <c r="BG22" s="278"/>
      <c r="BH22" s="278"/>
      <c r="BI22" s="278"/>
      <c r="BJ22" s="279"/>
      <c r="BK22" s="583">
        <f t="shared" si="12"/>
        <v>63</v>
      </c>
      <c r="BL22" s="584">
        <f t="shared" si="13"/>
        <v>63</v>
      </c>
      <c r="BM22" s="290">
        <v>0.1</v>
      </c>
      <c r="BN22" s="290">
        <v>0.55000000000000004</v>
      </c>
      <c r="BO22" s="290">
        <v>120</v>
      </c>
      <c r="BP22" s="525">
        <v>657</v>
      </c>
      <c r="BQ22" s="581">
        <f t="shared" si="14"/>
        <v>756.00000000000011</v>
      </c>
      <c r="BR22" s="582">
        <f t="shared" si="15"/>
        <v>22765.050000000003</v>
      </c>
      <c r="BS22" s="155"/>
    </row>
    <row r="23" spans="1:71" ht="13" x14ac:dyDescent="0.3">
      <c r="A23" s="294" t="s">
        <v>497</v>
      </c>
      <c r="B23" s="154"/>
      <c r="C23" s="277"/>
      <c r="D23" s="278"/>
      <c r="E23" s="278"/>
      <c r="F23" s="278"/>
      <c r="G23" s="278"/>
      <c r="H23" s="278"/>
      <c r="I23" s="278">
        <v>1</v>
      </c>
      <c r="J23" s="278">
        <v>1</v>
      </c>
      <c r="K23" s="278">
        <v>1</v>
      </c>
      <c r="L23" s="278"/>
      <c r="M23" s="278"/>
      <c r="N23" s="279"/>
      <c r="O23" s="278"/>
      <c r="P23" s="278"/>
      <c r="Q23" s="278"/>
      <c r="R23" s="278"/>
      <c r="S23" s="278"/>
      <c r="T23" s="278"/>
      <c r="U23" s="278"/>
      <c r="V23" s="278"/>
      <c r="W23" s="278"/>
      <c r="X23" s="278"/>
      <c r="Y23" s="278"/>
      <c r="Z23" s="279"/>
      <c r="AA23" s="278"/>
      <c r="AB23" s="278"/>
      <c r="AC23" s="278"/>
      <c r="AD23" s="278"/>
      <c r="AE23" s="278"/>
      <c r="AF23" s="278"/>
      <c r="AG23" s="278"/>
      <c r="AH23" s="278"/>
      <c r="AI23" s="278"/>
      <c r="AJ23" s="278"/>
      <c r="AK23" s="278"/>
      <c r="AL23" s="279"/>
      <c r="AM23" s="278"/>
      <c r="AN23" s="278"/>
      <c r="AO23" s="278"/>
      <c r="AP23" s="278"/>
      <c r="AQ23" s="278"/>
      <c r="AR23" s="278"/>
      <c r="AS23" s="278"/>
      <c r="AT23" s="278"/>
      <c r="AU23" s="278"/>
      <c r="AV23" s="278"/>
      <c r="AW23" s="278"/>
      <c r="AX23" s="279"/>
      <c r="AY23" s="278"/>
      <c r="AZ23" s="278"/>
      <c r="BA23" s="278"/>
      <c r="BB23" s="278"/>
      <c r="BC23" s="278"/>
      <c r="BD23" s="278"/>
      <c r="BE23" s="278"/>
      <c r="BF23" s="278"/>
      <c r="BG23" s="278"/>
      <c r="BH23" s="278"/>
      <c r="BI23" s="278"/>
      <c r="BJ23" s="279"/>
      <c r="BK23" s="583">
        <f t="shared" si="12"/>
        <v>63</v>
      </c>
      <c r="BL23" s="584">
        <f t="shared" si="13"/>
        <v>63</v>
      </c>
      <c r="BM23" s="290">
        <v>0.1</v>
      </c>
      <c r="BN23" s="290">
        <v>0.3</v>
      </c>
      <c r="BO23" s="290">
        <v>120</v>
      </c>
      <c r="BP23" s="525">
        <v>753</v>
      </c>
      <c r="BQ23" s="581">
        <f t="shared" si="14"/>
        <v>756.00000000000011</v>
      </c>
      <c r="BR23" s="582">
        <f t="shared" si="15"/>
        <v>14231.699999999999</v>
      </c>
      <c r="BS23" s="155"/>
    </row>
    <row r="24" spans="1:71" ht="13" x14ac:dyDescent="0.3">
      <c r="A24" s="294" t="s">
        <v>498</v>
      </c>
      <c r="B24" s="154"/>
      <c r="C24" s="277"/>
      <c r="D24" s="278"/>
      <c r="E24" s="278"/>
      <c r="F24" s="278"/>
      <c r="G24" s="278"/>
      <c r="H24" s="278"/>
      <c r="I24" s="278"/>
      <c r="J24" s="278"/>
      <c r="K24" s="278">
        <v>1</v>
      </c>
      <c r="L24" s="278">
        <v>1</v>
      </c>
      <c r="M24" s="278"/>
      <c r="N24" s="279"/>
      <c r="O24" s="278"/>
      <c r="P24" s="278"/>
      <c r="Q24" s="278"/>
      <c r="R24" s="278"/>
      <c r="S24" s="278"/>
      <c r="T24" s="278"/>
      <c r="U24" s="278"/>
      <c r="V24" s="278"/>
      <c r="W24" s="278"/>
      <c r="X24" s="278"/>
      <c r="Y24" s="278"/>
      <c r="Z24" s="279"/>
      <c r="AA24" s="278"/>
      <c r="AB24" s="278"/>
      <c r="AC24" s="278"/>
      <c r="AD24" s="278"/>
      <c r="AE24" s="278"/>
      <c r="AF24" s="278"/>
      <c r="AG24" s="278"/>
      <c r="AH24" s="278"/>
      <c r="AI24" s="278"/>
      <c r="AJ24" s="278"/>
      <c r="AK24" s="278"/>
      <c r="AL24" s="279"/>
      <c r="AM24" s="278"/>
      <c r="AN24" s="278"/>
      <c r="AO24" s="278"/>
      <c r="AP24" s="278"/>
      <c r="AQ24" s="278"/>
      <c r="AR24" s="278"/>
      <c r="AS24" s="278"/>
      <c r="AT24" s="278"/>
      <c r="AU24" s="278"/>
      <c r="AV24" s="278"/>
      <c r="AW24" s="278"/>
      <c r="AX24" s="279"/>
      <c r="AY24" s="278"/>
      <c r="AZ24" s="278"/>
      <c r="BA24" s="278"/>
      <c r="BB24" s="278"/>
      <c r="BC24" s="278"/>
      <c r="BD24" s="278"/>
      <c r="BE24" s="278"/>
      <c r="BF24" s="278"/>
      <c r="BG24" s="278"/>
      <c r="BH24" s="278"/>
      <c r="BI24" s="278"/>
      <c r="BJ24" s="279"/>
      <c r="BK24" s="583">
        <f t="shared" si="12"/>
        <v>42</v>
      </c>
      <c r="BL24" s="584">
        <f t="shared" si="13"/>
        <v>42</v>
      </c>
      <c r="BM24" s="290">
        <v>0.2</v>
      </c>
      <c r="BN24" s="290">
        <v>0.7</v>
      </c>
      <c r="BO24" s="290">
        <v>120</v>
      </c>
      <c r="BP24" s="525">
        <v>645</v>
      </c>
      <c r="BQ24" s="581">
        <f t="shared" si="14"/>
        <v>1008</v>
      </c>
      <c r="BR24" s="582">
        <f t="shared" si="15"/>
        <v>18963</v>
      </c>
      <c r="BS24" s="155"/>
    </row>
    <row r="25" spans="1:71" ht="13" x14ac:dyDescent="0.3">
      <c r="A25" s="294" t="s">
        <v>499</v>
      </c>
      <c r="B25" s="154"/>
      <c r="C25" s="277"/>
      <c r="D25" s="278"/>
      <c r="E25" s="278"/>
      <c r="F25" s="278"/>
      <c r="G25" s="278"/>
      <c r="H25" s="278"/>
      <c r="I25" s="278"/>
      <c r="J25" s="278"/>
      <c r="K25" s="278"/>
      <c r="L25" s="278">
        <v>1</v>
      </c>
      <c r="M25" s="278">
        <v>1</v>
      </c>
      <c r="N25" s="279"/>
      <c r="O25" s="278"/>
      <c r="P25" s="278"/>
      <c r="Q25" s="278"/>
      <c r="R25" s="278"/>
      <c r="S25" s="278"/>
      <c r="T25" s="278"/>
      <c r="U25" s="278"/>
      <c r="V25" s="278"/>
      <c r="W25" s="278"/>
      <c r="X25" s="278"/>
      <c r="Y25" s="278"/>
      <c r="Z25" s="279"/>
      <c r="AA25" s="278"/>
      <c r="AB25" s="278"/>
      <c r="AC25" s="278"/>
      <c r="AD25" s="278"/>
      <c r="AE25" s="278"/>
      <c r="AF25" s="278"/>
      <c r="AG25" s="278"/>
      <c r="AH25" s="278"/>
      <c r="AI25" s="278"/>
      <c r="AJ25" s="278"/>
      <c r="AK25" s="278"/>
      <c r="AL25" s="279"/>
      <c r="AM25" s="278"/>
      <c r="AN25" s="278"/>
      <c r="AO25" s="278"/>
      <c r="AP25" s="278"/>
      <c r="AQ25" s="278"/>
      <c r="AR25" s="278"/>
      <c r="AS25" s="278"/>
      <c r="AT25" s="278"/>
      <c r="AU25" s="278"/>
      <c r="AV25" s="278"/>
      <c r="AW25" s="278"/>
      <c r="AX25" s="279"/>
      <c r="AY25" s="278"/>
      <c r="AZ25" s="278"/>
      <c r="BA25" s="278"/>
      <c r="BB25" s="278"/>
      <c r="BC25" s="278"/>
      <c r="BD25" s="278"/>
      <c r="BE25" s="278"/>
      <c r="BF25" s="278"/>
      <c r="BG25" s="278"/>
      <c r="BH25" s="278"/>
      <c r="BI25" s="278"/>
      <c r="BJ25" s="279"/>
      <c r="BK25" s="583">
        <f t="shared" si="12"/>
        <v>42</v>
      </c>
      <c r="BL25" s="584">
        <f t="shared" si="13"/>
        <v>42</v>
      </c>
      <c r="BM25" s="290">
        <v>0.1</v>
      </c>
      <c r="BN25" s="290">
        <v>0.6</v>
      </c>
      <c r="BO25" s="290">
        <v>120</v>
      </c>
      <c r="BP25" s="525">
        <v>746</v>
      </c>
      <c r="BQ25" s="581">
        <f t="shared" si="2"/>
        <v>504</v>
      </c>
      <c r="BR25" s="582">
        <f t="shared" si="3"/>
        <v>18799.2</v>
      </c>
      <c r="BS25" s="653">
        <f>SUM(BQ19:BR25)</f>
        <v>160404.30000000002</v>
      </c>
    </row>
    <row r="26" spans="1:71" x14ac:dyDescent="0.3">
      <c r="A26" s="295" t="s">
        <v>369</v>
      </c>
      <c r="B26" s="641"/>
      <c r="C26" s="642"/>
      <c r="D26" s="643"/>
      <c r="E26" s="643"/>
      <c r="F26" s="643"/>
      <c r="G26" s="643"/>
      <c r="H26" s="643"/>
      <c r="I26" s="643"/>
      <c r="J26" s="643"/>
      <c r="K26" s="643"/>
      <c r="L26" s="643"/>
      <c r="M26" s="643"/>
      <c r="N26" s="644"/>
      <c r="O26" s="643"/>
      <c r="P26" s="643"/>
      <c r="Q26" s="643"/>
      <c r="R26" s="643"/>
      <c r="S26" s="643"/>
      <c r="T26" s="643"/>
      <c r="U26" s="643"/>
      <c r="V26" s="643"/>
      <c r="W26" s="643"/>
      <c r="X26" s="643"/>
      <c r="Y26" s="643"/>
      <c r="Z26" s="644"/>
      <c r="AA26" s="643"/>
      <c r="AB26" s="643"/>
      <c r="AC26" s="643"/>
      <c r="AD26" s="643"/>
      <c r="AE26" s="643"/>
      <c r="AF26" s="643"/>
      <c r="AG26" s="643"/>
      <c r="AH26" s="643"/>
      <c r="AI26" s="643"/>
      <c r="AJ26" s="643"/>
      <c r="AK26" s="643"/>
      <c r="AL26" s="644"/>
      <c r="AM26" s="643"/>
      <c r="AN26" s="643"/>
      <c r="AO26" s="643"/>
      <c r="AP26" s="643"/>
      <c r="AQ26" s="643"/>
      <c r="AR26" s="643"/>
      <c r="AS26" s="643"/>
      <c r="AT26" s="643"/>
      <c r="AU26" s="643"/>
      <c r="AV26" s="643"/>
      <c r="AW26" s="643"/>
      <c r="AX26" s="644"/>
      <c r="AY26" s="643"/>
      <c r="AZ26" s="643"/>
      <c r="BA26" s="643"/>
      <c r="BB26" s="643"/>
      <c r="BC26" s="643"/>
      <c r="BD26" s="643"/>
      <c r="BE26" s="643"/>
      <c r="BF26" s="643"/>
      <c r="BG26" s="643"/>
      <c r="BH26" s="643"/>
      <c r="BI26" s="643"/>
      <c r="BJ26" s="644"/>
      <c r="BK26" s="527"/>
      <c r="BL26" s="528"/>
      <c r="BM26" s="275"/>
      <c r="BN26" s="275"/>
      <c r="BO26" s="275"/>
      <c r="BP26" s="526"/>
      <c r="BQ26" s="581"/>
      <c r="BR26" s="582"/>
      <c r="BS26" s="155"/>
    </row>
    <row r="27" spans="1:71" ht="13" x14ac:dyDescent="0.3">
      <c r="A27" s="296" t="s">
        <v>373</v>
      </c>
      <c r="B27" s="154"/>
      <c r="C27" s="277">
        <v>1</v>
      </c>
      <c r="D27" s="278">
        <v>1</v>
      </c>
      <c r="E27" s="278">
        <v>1</v>
      </c>
      <c r="F27" s="278"/>
      <c r="G27" s="278"/>
      <c r="H27" s="278"/>
      <c r="I27" s="278"/>
      <c r="J27" s="278"/>
      <c r="K27" s="278"/>
      <c r="L27" s="278"/>
      <c r="M27" s="278"/>
      <c r="N27" s="279"/>
      <c r="O27" s="278"/>
      <c r="P27" s="278"/>
      <c r="Q27" s="278"/>
      <c r="R27" s="278"/>
      <c r="S27" s="278"/>
      <c r="T27" s="278"/>
      <c r="U27" s="278"/>
      <c r="V27" s="278"/>
      <c r="W27" s="278"/>
      <c r="X27" s="278"/>
      <c r="Y27" s="278"/>
      <c r="Z27" s="279"/>
      <c r="AA27" s="278"/>
      <c r="AB27" s="278"/>
      <c r="AC27" s="278"/>
      <c r="AD27" s="278"/>
      <c r="AE27" s="278"/>
      <c r="AF27" s="278"/>
      <c r="AG27" s="278"/>
      <c r="AH27" s="278"/>
      <c r="AI27" s="278"/>
      <c r="AJ27" s="278"/>
      <c r="AK27" s="278"/>
      <c r="AL27" s="279"/>
      <c r="AM27" s="278"/>
      <c r="AN27" s="278"/>
      <c r="AO27" s="278"/>
      <c r="AP27" s="278"/>
      <c r="AQ27" s="278"/>
      <c r="AR27" s="278"/>
      <c r="AS27" s="278"/>
      <c r="AT27" s="278"/>
      <c r="AU27" s="278"/>
      <c r="AV27" s="278"/>
      <c r="AW27" s="278"/>
      <c r="AX27" s="279"/>
      <c r="AY27" s="278"/>
      <c r="AZ27" s="278"/>
      <c r="BA27" s="278"/>
      <c r="BB27" s="278"/>
      <c r="BC27" s="278"/>
      <c r="BD27" s="278"/>
      <c r="BE27" s="278"/>
      <c r="BF27" s="278"/>
      <c r="BG27" s="278"/>
      <c r="BH27" s="278"/>
      <c r="BI27" s="278"/>
      <c r="BJ27" s="279"/>
      <c r="BK27" s="583">
        <f t="shared" ref="BK27:BK33" si="16">COUNTA(C27:AX27)*21</f>
        <v>63</v>
      </c>
      <c r="BL27" s="584">
        <f t="shared" ref="BL27:BL33" si="17">COUNTA(C27:AX27)*21</f>
        <v>63</v>
      </c>
      <c r="BM27" s="290">
        <v>0.2</v>
      </c>
      <c r="BN27" s="290">
        <v>0.7</v>
      </c>
      <c r="BO27" s="290">
        <v>120</v>
      </c>
      <c r="BP27" s="525">
        <v>743</v>
      </c>
      <c r="BQ27" s="581">
        <f t="shared" si="2"/>
        <v>1512.0000000000002</v>
      </c>
      <c r="BR27" s="582">
        <f t="shared" si="3"/>
        <v>32766.299999999996</v>
      </c>
      <c r="BS27" s="155"/>
    </row>
    <row r="28" spans="1:71" ht="13" x14ac:dyDescent="0.3">
      <c r="A28" s="296" t="s">
        <v>500</v>
      </c>
      <c r="B28" s="154"/>
      <c r="C28" s="277"/>
      <c r="D28" s="278">
        <v>1</v>
      </c>
      <c r="E28" s="278">
        <v>1</v>
      </c>
      <c r="F28" s="278">
        <v>1</v>
      </c>
      <c r="G28" s="278"/>
      <c r="H28" s="278"/>
      <c r="I28" s="278"/>
      <c r="J28" s="278"/>
      <c r="K28" s="278"/>
      <c r="L28" s="278"/>
      <c r="M28" s="278"/>
      <c r="N28" s="279"/>
      <c r="O28" s="278"/>
      <c r="P28" s="278"/>
      <c r="Q28" s="278"/>
      <c r="R28" s="278"/>
      <c r="S28" s="278"/>
      <c r="T28" s="278"/>
      <c r="U28" s="278"/>
      <c r="V28" s="278"/>
      <c r="W28" s="278"/>
      <c r="X28" s="278"/>
      <c r="Y28" s="278"/>
      <c r="Z28" s="279"/>
      <c r="AA28" s="278"/>
      <c r="AB28" s="278"/>
      <c r="AC28" s="278"/>
      <c r="AD28" s="278"/>
      <c r="AE28" s="278"/>
      <c r="AF28" s="278"/>
      <c r="AG28" s="278"/>
      <c r="AH28" s="278"/>
      <c r="AI28" s="278"/>
      <c r="AJ28" s="278"/>
      <c r="AK28" s="278"/>
      <c r="AL28" s="279"/>
      <c r="AM28" s="278"/>
      <c r="AN28" s="278"/>
      <c r="AO28" s="278"/>
      <c r="AP28" s="278"/>
      <c r="AQ28" s="278"/>
      <c r="AR28" s="278"/>
      <c r="AS28" s="278"/>
      <c r="AT28" s="278"/>
      <c r="AU28" s="278"/>
      <c r="AV28" s="278"/>
      <c r="AW28" s="278"/>
      <c r="AX28" s="279"/>
      <c r="AY28" s="278"/>
      <c r="AZ28" s="278"/>
      <c r="BA28" s="278"/>
      <c r="BB28" s="278"/>
      <c r="BC28" s="278"/>
      <c r="BD28" s="278"/>
      <c r="BE28" s="278"/>
      <c r="BF28" s="278"/>
      <c r="BG28" s="278"/>
      <c r="BH28" s="278"/>
      <c r="BI28" s="278"/>
      <c r="BJ28" s="279"/>
      <c r="BK28" s="583">
        <f t="shared" si="16"/>
        <v>63</v>
      </c>
      <c r="BL28" s="584">
        <f t="shared" si="17"/>
        <v>63</v>
      </c>
      <c r="BM28" s="290">
        <v>0.2</v>
      </c>
      <c r="BN28" s="290">
        <v>0.3</v>
      </c>
      <c r="BO28" s="290">
        <v>120</v>
      </c>
      <c r="BP28" s="525">
        <v>740</v>
      </c>
      <c r="BQ28" s="581">
        <f t="shared" ref="BQ28:BQ29" si="18">BK28*BM28*BO28</f>
        <v>1512.0000000000002</v>
      </c>
      <c r="BR28" s="582">
        <f t="shared" ref="BR28:BR29" si="19">BL28*BN28*BP28</f>
        <v>13985.999999999998</v>
      </c>
      <c r="BS28" s="155"/>
    </row>
    <row r="29" spans="1:71" ht="13" x14ac:dyDescent="0.3">
      <c r="A29" s="296" t="s">
        <v>501</v>
      </c>
      <c r="B29" s="154"/>
      <c r="C29" s="277"/>
      <c r="D29" s="278"/>
      <c r="E29" s="278"/>
      <c r="F29" s="278"/>
      <c r="G29" s="278">
        <v>1</v>
      </c>
      <c r="H29" s="278">
        <v>1</v>
      </c>
      <c r="I29" s="278">
        <v>1</v>
      </c>
      <c r="J29" s="278"/>
      <c r="K29" s="278"/>
      <c r="L29" s="278"/>
      <c r="M29" s="278"/>
      <c r="N29" s="279"/>
      <c r="O29" s="278"/>
      <c r="P29" s="278"/>
      <c r="Q29" s="278"/>
      <c r="R29" s="278"/>
      <c r="S29" s="278"/>
      <c r="T29" s="278"/>
      <c r="U29" s="278"/>
      <c r="V29" s="278"/>
      <c r="W29" s="278"/>
      <c r="X29" s="278"/>
      <c r="Y29" s="278"/>
      <c r="Z29" s="279"/>
      <c r="AA29" s="278"/>
      <c r="AB29" s="278"/>
      <c r="AC29" s="278"/>
      <c r="AD29" s="278"/>
      <c r="AE29" s="278"/>
      <c r="AF29" s="278"/>
      <c r="AG29" s="278"/>
      <c r="AH29" s="278"/>
      <c r="AI29" s="278"/>
      <c r="AJ29" s="278"/>
      <c r="AK29" s="278"/>
      <c r="AL29" s="279"/>
      <c r="AM29" s="278"/>
      <c r="AN29" s="278"/>
      <c r="AO29" s="278"/>
      <c r="AP29" s="278"/>
      <c r="AQ29" s="278"/>
      <c r="AR29" s="278"/>
      <c r="AS29" s="278"/>
      <c r="AT29" s="278"/>
      <c r="AU29" s="278"/>
      <c r="AV29" s="278"/>
      <c r="AW29" s="278"/>
      <c r="AX29" s="279"/>
      <c r="AY29" s="278"/>
      <c r="AZ29" s="278"/>
      <c r="BA29" s="278"/>
      <c r="BB29" s="278"/>
      <c r="BC29" s="278"/>
      <c r="BD29" s="278"/>
      <c r="BE29" s="278"/>
      <c r="BF29" s="278"/>
      <c r="BG29" s="278"/>
      <c r="BH29" s="278"/>
      <c r="BI29" s="278"/>
      <c r="BJ29" s="279"/>
      <c r="BK29" s="583">
        <f t="shared" si="16"/>
        <v>63</v>
      </c>
      <c r="BL29" s="584">
        <f t="shared" si="17"/>
        <v>63</v>
      </c>
      <c r="BM29" s="290">
        <v>0.1</v>
      </c>
      <c r="BN29" s="290">
        <v>0.5</v>
      </c>
      <c r="BO29" s="290">
        <v>120</v>
      </c>
      <c r="BP29" s="525">
        <v>657</v>
      </c>
      <c r="BQ29" s="581">
        <f t="shared" si="18"/>
        <v>756.00000000000011</v>
      </c>
      <c r="BR29" s="582">
        <f t="shared" si="19"/>
        <v>20695.5</v>
      </c>
      <c r="BS29" s="155"/>
    </row>
    <row r="30" spans="1:71" ht="13" x14ac:dyDescent="0.3">
      <c r="A30" s="296" t="s">
        <v>502</v>
      </c>
      <c r="B30" s="154"/>
      <c r="C30" s="277"/>
      <c r="D30" s="278"/>
      <c r="E30" s="278"/>
      <c r="F30" s="278"/>
      <c r="G30" s="278">
        <v>1</v>
      </c>
      <c r="H30" s="278">
        <v>1</v>
      </c>
      <c r="I30" s="278">
        <v>1</v>
      </c>
      <c r="J30" s="278"/>
      <c r="K30" s="278"/>
      <c r="L30" s="278"/>
      <c r="M30" s="278"/>
      <c r="N30" s="279"/>
      <c r="O30" s="278"/>
      <c r="P30" s="278"/>
      <c r="Q30" s="278"/>
      <c r="R30" s="278"/>
      <c r="S30" s="278"/>
      <c r="T30" s="278"/>
      <c r="U30" s="278"/>
      <c r="V30" s="278"/>
      <c r="W30" s="278"/>
      <c r="X30" s="278"/>
      <c r="Y30" s="278"/>
      <c r="Z30" s="279"/>
      <c r="AA30" s="278"/>
      <c r="AB30" s="278"/>
      <c r="AC30" s="278"/>
      <c r="AD30" s="278"/>
      <c r="AE30" s="278"/>
      <c r="AF30" s="278"/>
      <c r="AG30" s="278"/>
      <c r="AH30" s="278"/>
      <c r="AI30" s="278"/>
      <c r="AJ30" s="278"/>
      <c r="AK30" s="278"/>
      <c r="AL30" s="279"/>
      <c r="AM30" s="278"/>
      <c r="AN30" s="278"/>
      <c r="AO30" s="278"/>
      <c r="AP30" s="278"/>
      <c r="AQ30" s="278"/>
      <c r="AR30" s="278"/>
      <c r="AS30" s="278"/>
      <c r="AT30" s="278"/>
      <c r="AU30" s="278"/>
      <c r="AV30" s="278"/>
      <c r="AW30" s="278"/>
      <c r="AX30" s="279"/>
      <c r="AY30" s="278"/>
      <c r="AZ30" s="278"/>
      <c r="BA30" s="278"/>
      <c r="BB30" s="278"/>
      <c r="BC30" s="278"/>
      <c r="BD30" s="278"/>
      <c r="BE30" s="278"/>
      <c r="BF30" s="278"/>
      <c r="BG30" s="278"/>
      <c r="BH30" s="278"/>
      <c r="BI30" s="278"/>
      <c r="BJ30" s="279"/>
      <c r="BK30" s="583">
        <f t="shared" si="16"/>
        <v>63</v>
      </c>
      <c r="BL30" s="584">
        <f t="shared" si="17"/>
        <v>63</v>
      </c>
      <c r="BM30" s="290">
        <v>0.1</v>
      </c>
      <c r="BN30" s="290">
        <v>0.4</v>
      </c>
      <c r="BO30" s="290">
        <v>120</v>
      </c>
      <c r="BP30" s="525">
        <v>657</v>
      </c>
      <c r="BQ30" s="581">
        <f t="shared" si="2"/>
        <v>756.00000000000011</v>
      </c>
      <c r="BR30" s="582">
        <f t="shared" si="3"/>
        <v>16556.400000000001</v>
      </c>
      <c r="BS30" s="155"/>
    </row>
    <row r="31" spans="1:71" ht="13" x14ac:dyDescent="0.3">
      <c r="A31" s="296" t="s">
        <v>503</v>
      </c>
      <c r="B31" s="154"/>
      <c r="C31" s="277"/>
      <c r="D31" s="278"/>
      <c r="E31" s="278"/>
      <c r="F31" s="278"/>
      <c r="G31" s="278"/>
      <c r="H31" s="278"/>
      <c r="I31" s="278">
        <v>1</v>
      </c>
      <c r="J31" s="278">
        <v>1</v>
      </c>
      <c r="K31" s="278"/>
      <c r="L31" s="278"/>
      <c r="M31" s="278"/>
      <c r="N31" s="279"/>
      <c r="O31" s="278"/>
      <c r="P31" s="278"/>
      <c r="Q31" s="278"/>
      <c r="R31" s="278"/>
      <c r="S31" s="278"/>
      <c r="T31" s="278"/>
      <c r="U31" s="278"/>
      <c r="V31" s="278"/>
      <c r="W31" s="278"/>
      <c r="X31" s="278"/>
      <c r="Y31" s="278"/>
      <c r="Z31" s="279"/>
      <c r="AA31" s="278"/>
      <c r="AB31" s="278"/>
      <c r="AC31" s="278"/>
      <c r="AD31" s="278"/>
      <c r="AE31" s="278"/>
      <c r="AF31" s="278"/>
      <c r="AG31" s="278"/>
      <c r="AH31" s="278"/>
      <c r="AI31" s="278"/>
      <c r="AJ31" s="278"/>
      <c r="AK31" s="278"/>
      <c r="AL31" s="279"/>
      <c r="AM31" s="278"/>
      <c r="AN31" s="278"/>
      <c r="AO31" s="278"/>
      <c r="AP31" s="278"/>
      <c r="AQ31" s="278"/>
      <c r="AR31" s="278"/>
      <c r="AS31" s="278"/>
      <c r="AT31" s="278"/>
      <c r="AU31" s="278"/>
      <c r="AV31" s="278"/>
      <c r="AW31" s="278"/>
      <c r="AX31" s="279"/>
      <c r="AY31" s="278"/>
      <c r="AZ31" s="278"/>
      <c r="BA31" s="278"/>
      <c r="BB31" s="278"/>
      <c r="BC31" s="278"/>
      <c r="BD31" s="278"/>
      <c r="BE31" s="278"/>
      <c r="BF31" s="278"/>
      <c r="BG31" s="278"/>
      <c r="BH31" s="278"/>
      <c r="BI31" s="278"/>
      <c r="BJ31" s="279"/>
      <c r="BK31" s="583">
        <f t="shared" si="16"/>
        <v>42</v>
      </c>
      <c r="BL31" s="584">
        <f t="shared" si="17"/>
        <v>42</v>
      </c>
      <c r="BM31" s="290">
        <v>0.1</v>
      </c>
      <c r="BN31" s="290">
        <v>0.3</v>
      </c>
      <c r="BO31" s="290">
        <v>120</v>
      </c>
      <c r="BP31" s="525">
        <v>753</v>
      </c>
      <c r="BQ31" s="581">
        <f t="shared" si="2"/>
        <v>504</v>
      </c>
      <c r="BR31" s="582">
        <f t="shared" si="3"/>
        <v>9487.7999999999993</v>
      </c>
      <c r="BS31" s="155"/>
    </row>
    <row r="32" spans="1:71" ht="13" x14ac:dyDescent="0.3">
      <c r="A32" s="296" t="s">
        <v>504</v>
      </c>
      <c r="B32" s="154"/>
      <c r="C32" s="277"/>
      <c r="D32" s="278"/>
      <c r="E32" s="278"/>
      <c r="F32" s="278"/>
      <c r="G32" s="278"/>
      <c r="H32" s="278"/>
      <c r="I32" s="278"/>
      <c r="J32" s="278">
        <v>1</v>
      </c>
      <c r="K32" s="278">
        <v>1</v>
      </c>
      <c r="L32" s="278"/>
      <c r="M32" s="278"/>
      <c r="N32" s="279"/>
      <c r="O32" s="278"/>
      <c r="P32" s="278"/>
      <c r="Q32" s="278"/>
      <c r="R32" s="278"/>
      <c r="S32" s="278"/>
      <c r="T32" s="278"/>
      <c r="U32" s="278"/>
      <c r="V32" s="278"/>
      <c r="W32" s="278"/>
      <c r="X32" s="278"/>
      <c r="Y32" s="278"/>
      <c r="Z32" s="279"/>
      <c r="AA32" s="278"/>
      <c r="AB32" s="278"/>
      <c r="AC32" s="278"/>
      <c r="AD32" s="278"/>
      <c r="AE32" s="278"/>
      <c r="AF32" s="278"/>
      <c r="AG32" s="278"/>
      <c r="AH32" s="278"/>
      <c r="AI32" s="278"/>
      <c r="AJ32" s="278"/>
      <c r="AK32" s="278"/>
      <c r="AL32" s="279"/>
      <c r="AM32" s="278"/>
      <c r="AN32" s="278"/>
      <c r="AO32" s="278"/>
      <c r="AP32" s="278"/>
      <c r="AQ32" s="278"/>
      <c r="AR32" s="278"/>
      <c r="AS32" s="278"/>
      <c r="AT32" s="278"/>
      <c r="AU32" s="278"/>
      <c r="AV32" s="278"/>
      <c r="AW32" s="278"/>
      <c r="AX32" s="279"/>
      <c r="AY32" s="278"/>
      <c r="AZ32" s="278"/>
      <c r="BA32" s="278"/>
      <c r="BB32" s="278"/>
      <c r="BC32" s="278"/>
      <c r="BD32" s="278"/>
      <c r="BE32" s="278"/>
      <c r="BF32" s="278"/>
      <c r="BG32" s="278"/>
      <c r="BH32" s="278"/>
      <c r="BI32" s="278"/>
      <c r="BJ32" s="279"/>
      <c r="BK32" s="583">
        <f t="shared" si="16"/>
        <v>42</v>
      </c>
      <c r="BL32" s="584">
        <f t="shared" si="17"/>
        <v>42</v>
      </c>
      <c r="BM32" s="290">
        <v>0.2</v>
      </c>
      <c r="BN32" s="290">
        <v>0.7</v>
      </c>
      <c r="BO32" s="290">
        <v>120</v>
      </c>
      <c r="BP32" s="525">
        <v>645</v>
      </c>
      <c r="BQ32" s="581">
        <f t="shared" si="2"/>
        <v>1008</v>
      </c>
      <c r="BR32" s="582">
        <f t="shared" si="3"/>
        <v>18963</v>
      </c>
      <c r="BS32" s="155"/>
    </row>
    <row r="33" spans="1:71" ht="13" x14ac:dyDescent="0.3">
      <c r="A33" s="296" t="s">
        <v>505</v>
      </c>
      <c r="B33" s="154"/>
      <c r="C33" s="277"/>
      <c r="D33" s="278"/>
      <c r="E33" s="278"/>
      <c r="F33" s="278"/>
      <c r="G33" s="278"/>
      <c r="H33" s="278"/>
      <c r="I33" s="278"/>
      <c r="J33" s="278"/>
      <c r="K33" s="278">
        <v>1</v>
      </c>
      <c r="L33" s="278">
        <v>1</v>
      </c>
      <c r="M33" s="278"/>
      <c r="N33" s="279"/>
      <c r="O33" s="278"/>
      <c r="P33" s="278"/>
      <c r="Q33" s="278"/>
      <c r="R33" s="278"/>
      <c r="S33" s="278"/>
      <c r="T33" s="278"/>
      <c r="U33" s="278"/>
      <c r="V33" s="278"/>
      <c r="W33" s="278"/>
      <c r="X33" s="278"/>
      <c r="Y33" s="278"/>
      <c r="Z33" s="279"/>
      <c r="AA33" s="278"/>
      <c r="AB33" s="278"/>
      <c r="AC33" s="278"/>
      <c r="AD33" s="278"/>
      <c r="AE33" s="278"/>
      <c r="AF33" s="278"/>
      <c r="AG33" s="278"/>
      <c r="AH33" s="278"/>
      <c r="AI33" s="278"/>
      <c r="AJ33" s="278"/>
      <c r="AK33" s="278"/>
      <c r="AL33" s="279"/>
      <c r="AM33" s="278"/>
      <c r="AN33" s="278"/>
      <c r="AO33" s="278"/>
      <c r="AP33" s="278"/>
      <c r="AQ33" s="278"/>
      <c r="AR33" s="278"/>
      <c r="AS33" s="278"/>
      <c r="AT33" s="278"/>
      <c r="AU33" s="278"/>
      <c r="AV33" s="278"/>
      <c r="AW33" s="278"/>
      <c r="AX33" s="279"/>
      <c r="AY33" s="278"/>
      <c r="AZ33" s="278"/>
      <c r="BA33" s="278"/>
      <c r="BB33" s="278"/>
      <c r="BC33" s="278"/>
      <c r="BD33" s="278"/>
      <c r="BE33" s="278"/>
      <c r="BF33" s="278"/>
      <c r="BG33" s="278"/>
      <c r="BH33" s="278"/>
      <c r="BI33" s="278"/>
      <c r="BJ33" s="279"/>
      <c r="BK33" s="583">
        <f t="shared" si="16"/>
        <v>42</v>
      </c>
      <c r="BL33" s="584">
        <f t="shared" si="17"/>
        <v>42</v>
      </c>
      <c r="BM33" s="290">
        <v>0.1</v>
      </c>
      <c r="BN33" s="290">
        <v>0.6</v>
      </c>
      <c r="BO33" s="290">
        <v>120</v>
      </c>
      <c r="BP33" s="525">
        <v>746</v>
      </c>
      <c r="BQ33" s="581">
        <f t="shared" si="2"/>
        <v>504</v>
      </c>
      <c r="BR33" s="582">
        <f t="shared" si="3"/>
        <v>18799.2</v>
      </c>
      <c r="BS33" s="653">
        <f>SUM(BQ27:BR33)</f>
        <v>137806.19999999998</v>
      </c>
    </row>
    <row r="34" spans="1:71" x14ac:dyDescent="0.3">
      <c r="A34" s="295" t="s">
        <v>370</v>
      </c>
      <c r="B34" s="641"/>
      <c r="C34" s="642"/>
      <c r="D34" s="643"/>
      <c r="E34" s="643"/>
      <c r="F34" s="643"/>
      <c r="G34" s="643"/>
      <c r="H34" s="643"/>
      <c r="I34" s="643"/>
      <c r="J34" s="643"/>
      <c r="K34" s="643"/>
      <c r="L34" s="643"/>
      <c r="M34" s="643"/>
      <c r="N34" s="644"/>
      <c r="O34" s="643"/>
      <c r="P34" s="643"/>
      <c r="Q34" s="643"/>
      <c r="R34" s="643"/>
      <c r="S34" s="643"/>
      <c r="T34" s="643"/>
      <c r="U34" s="643"/>
      <c r="V34" s="643"/>
      <c r="W34" s="643"/>
      <c r="X34" s="643"/>
      <c r="Y34" s="643"/>
      <c r="Z34" s="644"/>
      <c r="AA34" s="643"/>
      <c r="AB34" s="643"/>
      <c r="AC34" s="643"/>
      <c r="AD34" s="643"/>
      <c r="AE34" s="643"/>
      <c r="AF34" s="643"/>
      <c r="AG34" s="643"/>
      <c r="AH34" s="643"/>
      <c r="AI34" s="643"/>
      <c r="AJ34" s="643"/>
      <c r="AK34" s="643"/>
      <c r="AL34" s="644"/>
      <c r="AM34" s="643"/>
      <c r="AN34" s="643"/>
      <c r="AO34" s="643"/>
      <c r="AP34" s="643"/>
      <c r="AQ34" s="643"/>
      <c r="AR34" s="643"/>
      <c r="AS34" s="643"/>
      <c r="AT34" s="643"/>
      <c r="AU34" s="643"/>
      <c r="AV34" s="643"/>
      <c r="AW34" s="643"/>
      <c r="AX34" s="644"/>
      <c r="AY34" s="643"/>
      <c r="AZ34" s="643"/>
      <c r="BA34" s="643"/>
      <c r="BB34" s="643"/>
      <c r="BC34" s="643"/>
      <c r="BD34" s="643"/>
      <c r="BE34" s="643"/>
      <c r="BF34" s="643"/>
      <c r="BG34" s="643"/>
      <c r="BH34" s="643"/>
      <c r="BI34" s="643"/>
      <c r="BJ34" s="644"/>
      <c r="BK34" s="527"/>
      <c r="BL34" s="528"/>
      <c r="BM34" s="275"/>
      <c r="BN34" s="275"/>
      <c r="BO34" s="275"/>
      <c r="BP34" s="526"/>
      <c r="BQ34" s="581"/>
      <c r="BR34" s="582"/>
      <c r="BS34" s="155"/>
    </row>
    <row r="35" spans="1:71" ht="13" x14ac:dyDescent="0.3">
      <c r="A35" s="296" t="s">
        <v>506</v>
      </c>
      <c r="B35" s="154"/>
      <c r="C35" s="277">
        <v>1</v>
      </c>
      <c r="D35" s="278">
        <v>1</v>
      </c>
      <c r="E35" s="278">
        <v>1</v>
      </c>
      <c r="F35" s="278"/>
      <c r="G35" s="278"/>
      <c r="H35" s="278"/>
      <c r="I35" s="278"/>
      <c r="J35" s="278"/>
      <c r="K35" s="278"/>
      <c r="L35" s="278"/>
      <c r="M35" s="278"/>
      <c r="N35" s="279"/>
      <c r="O35" s="278"/>
      <c r="P35" s="278"/>
      <c r="Q35" s="278"/>
      <c r="R35" s="278"/>
      <c r="S35" s="278"/>
      <c r="T35" s="278"/>
      <c r="U35" s="278"/>
      <c r="V35" s="278"/>
      <c r="W35" s="278"/>
      <c r="X35" s="278"/>
      <c r="Y35" s="278"/>
      <c r="Z35" s="279"/>
      <c r="AA35" s="278"/>
      <c r="AB35" s="278"/>
      <c r="AC35" s="278"/>
      <c r="AD35" s="278"/>
      <c r="AE35" s="278"/>
      <c r="AF35" s="278"/>
      <c r="AG35" s="278"/>
      <c r="AH35" s="278"/>
      <c r="AI35" s="278"/>
      <c r="AJ35" s="278"/>
      <c r="AK35" s="278"/>
      <c r="AL35" s="279"/>
      <c r="AM35" s="278"/>
      <c r="AN35" s="278"/>
      <c r="AO35" s="278"/>
      <c r="AP35" s="278"/>
      <c r="AQ35" s="278"/>
      <c r="AR35" s="278"/>
      <c r="AS35" s="278"/>
      <c r="AT35" s="278"/>
      <c r="AU35" s="278"/>
      <c r="AV35" s="278"/>
      <c r="AW35" s="278"/>
      <c r="AX35" s="279"/>
      <c r="AY35" s="278"/>
      <c r="AZ35" s="278"/>
      <c r="BA35" s="278"/>
      <c r="BB35" s="278"/>
      <c r="BC35" s="278"/>
      <c r="BD35" s="278"/>
      <c r="BE35" s="278"/>
      <c r="BF35" s="278"/>
      <c r="BG35" s="278"/>
      <c r="BH35" s="278"/>
      <c r="BI35" s="278"/>
      <c r="BJ35" s="279"/>
      <c r="BK35" s="583">
        <f t="shared" ref="BK35:BK40" si="20">COUNTA(C35:AX35)*21</f>
        <v>63</v>
      </c>
      <c r="BL35" s="584">
        <f t="shared" ref="BL35:BL40" si="21">COUNTA(C35:AX35)*21</f>
        <v>63</v>
      </c>
      <c r="BM35" s="290">
        <f>1/8</f>
        <v>0.125</v>
      </c>
      <c r="BN35" s="290">
        <v>0.6</v>
      </c>
      <c r="BO35" s="290">
        <v>120</v>
      </c>
      <c r="BP35" s="525">
        <v>743</v>
      </c>
      <c r="BQ35" s="581">
        <f t="shared" si="2"/>
        <v>945</v>
      </c>
      <c r="BR35" s="582">
        <f t="shared" si="3"/>
        <v>28085.399999999998</v>
      </c>
      <c r="BS35" s="155"/>
    </row>
    <row r="36" spans="1:71" ht="13" x14ac:dyDescent="0.3">
      <c r="A36" s="296" t="s">
        <v>507</v>
      </c>
      <c r="B36" s="154"/>
      <c r="C36" s="277"/>
      <c r="D36" s="278">
        <v>1</v>
      </c>
      <c r="E36" s="278">
        <v>1</v>
      </c>
      <c r="F36" s="278">
        <v>1</v>
      </c>
      <c r="G36" s="278"/>
      <c r="H36" s="278"/>
      <c r="I36" s="278"/>
      <c r="J36" s="278"/>
      <c r="K36" s="278"/>
      <c r="L36" s="278"/>
      <c r="M36" s="278"/>
      <c r="N36" s="279"/>
      <c r="O36" s="278"/>
      <c r="P36" s="278"/>
      <c r="Q36" s="278"/>
      <c r="R36" s="278"/>
      <c r="S36" s="278"/>
      <c r="T36" s="278"/>
      <c r="U36" s="278"/>
      <c r="V36" s="278"/>
      <c r="W36" s="278"/>
      <c r="X36" s="278"/>
      <c r="Y36" s="278"/>
      <c r="Z36" s="279"/>
      <c r="AA36" s="278"/>
      <c r="AB36" s="278"/>
      <c r="AC36" s="278"/>
      <c r="AD36" s="278"/>
      <c r="AE36" s="278"/>
      <c r="AF36" s="278"/>
      <c r="AG36" s="278"/>
      <c r="AH36" s="278"/>
      <c r="AI36" s="278"/>
      <c r="AJ36" s="278"/>
      <c r="AK36" s="278"/>
      <c r="AL36" s="279"/>
      <c r="AM36" s="278"/>
      <c r="AN36" s="278"/>
      <c r="AO36" s="278"/>
      <c r="AP36" s="278"/>
      <c r="AQ36" s="278"/>
      <c r="AR36" s="278"/>
      <c r="AS36" s="278"/>
      <c r="AT36" s="278"/>
      <c r="AU36" s="278"/>
      <c r="AV36" s="278"/>
      <c r="AW36" s="278"/>
      <c r="AX36" s="279"/>
      <c r="AY36" s="278"/>
      <c r="AZ36" s="278"/>
      <c r="BA36" s="278"/>
      <c r="BB36" s="278"/>
      <c r="BC36" s="278"/>
      <c r="BD36" s="278"/>
      <c r="BE36" s="278"/>
      <c r="BF36" s="278"/>
      <c r="BG36" s="278"/>
      <c r="BH36" s="278"/>
      <c r="BI36" s="278"/>
      <c r="BJ36" s="279"/>
      <c r="BK36" s="583">
        <f t="shared" si="20"/>
        <v>63</v>
      </c>
      <c r="BL36" s="584">
        <f t="shared" si="21"/>
        <v>63</v>
      </c>
      <c r="BM36" s="290">
        <v>0.15</v>
      </c>
      <c r="BN36" s="290">
        <v>0.4</v>
      </c>
      <c r="BO36" s="290">
        <v>120</v>
      </c>
      <c r="BP36" s="525">
        <v>740</v>
      </c>
      <c r="BQ36" s="581">
        <f t="shared" ref="BQ36:BQ38" si="22">BK36*BM36*BO36</f>
        <v>1134</v>
      </c>
      <c r="BR36" s="582">
        <f t="shared" ref="BR36:BR38" si="23">BL36*BN36*BP36</f>
        <v>18648.000000000004</v>
      </c>
      <c r="BS36" s="155"/>
    </row>
    <row r="37" spans="1:71" ht="13" x14ac:dyDescent="0.3">
      <c r="A37" s="296" t="s">
        <v>508</v>
      </c>
      <c r="B37" s="154"/>
      <c r="C37" s="277"/>
      <c r="D37" s="278"/>
      <c r="E37" s="278"/>
      <c r="F37" s="278"/>
      <c r="G37" s="278">
        <v>1</v>
      </c>
      <c r="H37" s="278">
        <v>1</v>
      </c>
      <c r="I37" s="278">
        <v>1</v>
      </c>
      <c r="J37" s="278">
        <v>1</v>
      </c>
      <c r="K37" s="278"/>
      <c r="L37" s="278"/>
      <c r="M37" s="278"/>
      <c r="N37" s="279"/>
      <c r="O37" s="278"/>
      <c r="P37" s="278"/>
      <c r="Q37" s="278"/>
      <c r="R37" s="278"/>
      <c r="S37" s="278"/>
      <c r="T37" s="278"/>
      <c r="U37" s="278"/>
      <c r="V37" s="278"/>
      <c r="W37" s="278"/>
      <c r="X37" s="278"/>
      <c r="Y37" s="278"/>
      <c r="Z37" s="279"/>
      <c r="AA37" s="278"/>
      <c r="AB37" s="278"/>
      <c r="AC37" s="278"/>
      <c r="AD37" s="278"/>
      <c r="AE37" s="278"/>
      <c r="AF37" s="278"/>
      <c r="AG37" s="278"/>
      <c r="AH37" s="278"/>
      <c r="AI37" s="278"/>
      <c r="AJ37" s="278"/>
      <c r="AK37" s="278"/>
      <c r="AL37" s="279"/>
      <c r="AM37" s="278"/>
      <c r="AN37" s="278"/>
      <c r="AO37" s="278"/>
      <c r="AP37" s="278"/>
      <c r="AQ37" s="278"/>
      <c r="AR37" s="278"/>
      <c r="AS37" s="278"/>
      <c r="AT37" s="278"/>
      <c r="AU37" s="278"/>
      <c r="AV37" s="278"/>
      <c r="AW37" s="278"/>
      <c r="AX37" s="279"/>
      <c r="AY37" s="278"/>
      <c r="AZ37" s="278"/>
      <c r="BA37" s="278"/>
      <c r="BB37" s="278"/>
      <c r="BC37" s="278"/>
      <c r="BD37" s="278"/>
      <c r="BE37" s="278"/>
      <c r="BF37" s="278"/>
      <c r="BG37" s="278"/>
      <c r="BH37" s="278"/>
      <c r="BI37" s="278"/>
      <c r="BJ37" s="279"/>
      <c r="BK37" s="583">
        <f t="shared" si="20"/>
        <v>84</v>
      </c>
      <c r="BL37" s="584">
        <f t="shared" si="21"/>
        <v>84</v>
      </c>
      <c r="BM37" s="290">
        <v>0.1</v>
      </c>
      <c r="BN37" s="290">
        <v>0.5</v>
      </c>
      <c r="BO37" s="290">
        <v>120</v>
      </c>
      <c r="BP37" s="525">
        <v>657</v>
      </c>
      <c r="BQ37" s="581">
        <f t="shared" si="22"/>
        <v>1008</v>
      </c>
      <c r="BR37" s="582">
        <f t="shared" si="23"/>
        <v>27594</v>
      </c>
      <c r="BS37" s="155"/>
    </row>
    <row r="38" spans="1:71" ht="13" x14ac:dyDescent="0.3">
      <c r="A38" s="296" t="s">
        <v>509</v>
      </c>
      <c r="B38" s="154"/>
      <c r="C38" s="277"/>
      <c r="D38" s="278"/>
      <c r="E38" s="278"/>
      <c r="F38" s="278"/>
      <c r="G38" s="278"/>
      <c r="H38" s="278"/>
      <c r="I38" s="278"/>
      <c r="J38" s="278">
        <v>1</v>
      </c>
      <c r="K38" s="278">
        <v>1</v>
      </c>
      <c r="L38" s="278">
        <v>1</v>
      </c>
      <c r="M38" s="278"/>
      <c r="N38" s="279"/>
      <c r="O38" s="278"/>
      <c r="P38" s="278"/>
      <c r="Q38" s="278"/>
      <c r="R38" s="278"/>
      <c r="S38" s="278"/>
      <c r="T38" s="278"/>
      <c r="U38" s="278"/>
      <c r="V38" s="278"/>
      <c r="W38" s="278"/>
      <c r="X38" s="278"/>
      <c r="Y38" s="278"/>
      <c r="Z38" s="279"/>
      <c r="AA38" s="278"/>
      <c r="AB38" s="278"/>
      <c r="AC38" s="278"/>
      <c r="AD38" s="278"/>
      <c r="AE38" s="278"/>
      <c r="AF38" s="278"/>
      <c r="AG38" s="278"/>
      <c r="AH38" s="278"/>
      <c r="AI38" s="278"/>
      <c r="AJ38" s="278"/>
      <c r="AK38" s="278"/>
      <c r="AL38" s="279"/>
      <c r="AM38" s="278"/>
      <c r="AN38" s="278"/>
      <c r="AO38" s="278"/>
      <c r="AP38" s="278"/>
      <c r="AQ38" s="278"/>
      <c r="AR38" s="278"/>
      <c r="AS38" s="278"/>
      <c r="AT38" s="278"/>
      <c r="AU38" s="278"/>
      <c r="AV38" s="278"/>
      <c r="AW38" s="278"/>
      <c r="AX38" s="279"/>
      <c r="AY38" s="278"/>
      <c r="AZ38" s="278"/>
      <c r="BA38" s="278"/>
      <c r="BB38" s="278"/>
      <c r="BC38" s="278"/>
      <c r="BD38" s="278"/>
      <c r="BE38" s="278"/>
      <c r="BF38" s="278"/>
      <c r="BG38" s="278"/>
      <c r="BH38" s="278"/>
      <c r="BI38" s="278"/>
      <c r="BJ38" s="279"/>
      <c r="BK38" s="583">
        <f t="shared" si="20"/>
        <v>63</v>
      </c>
      <c r="BL38" s="584">
        <f t="shared" si="21"/>
        <v>63</v>
      </c>
      <c r="BM38" s="290">
        <v>0.1</v>
      </c>
      <c r="BN38" s="290">
        <v>0.3</v>
      </c>
      <c r="BO38" s="290">
        <v>120</v>
      </c>
      <c r="BP38" s="525">
        <v>753</v>
      </c>
      <c r="BQ38" s="581">
        <f t="shared" si="22"/>
        <v>756.00000000000011</v>
      </c>
      <c r="BR38" s="582">
        <f t="shared" si="23"/>
        <v>14231.699999999999</v>
      </c>
      <c r="BS38" s="155"/>
    </row>
    <row r="39" spans="1:71" ht="13" x14ac:dyDescent="0.3">
      <c r="A39" s="296" t="s">
        <v>510</v>
      </c>
      <c r="B39" s="154"/>
      <c r="C39" s="277"/>
      <c r="D39" s="278"/>
      <c r="E39" s="278"/>
      <c r="F39" s="278"/>
      <c r="G39" s="278"/>
      <c r="H39" s="278"/>
      <c r="I39" s="278"/>
      <c r="J39" s="278"/>
      <c r="K39" s="278"/>
      <c r="L39" s="278">
        <v>1</v>
      </c>
      <c r="M39" s="278">
        <v>1</v>
      </c>
      <c r="N39" s="279"/>
      <c r="O39" s="278"/>
      <c r="P39" s="278"/>
      <c r="Q39" s="278"/>
      <c r="R39" s="278"/>
      <c r="S39" s="278"/>
      <c r="T39" s="278"/>
      <c r="U39" s="278"/>
      <c r="V39" s="278"/>
      <c r="W39" s="278"/>
      <c r="X39" s="278"/>
      <c r="Y39" s="278"/>
      <c r="Z39" s="279"/>
      <c r="AA39" s="278"/>
      <c r="AB39" s="278"/>
      <c r="AC39" s="278"/>
      <c r="AD39" s="278"/>
      <c r="AE39" s="278"/>
      <c r="AF39" s="278"/>
      <c r="AG39" s="278"/>
      <c r="AH39" s="278"/>
      <c r="AI39" s="278"/>
      <c r="AJ39" s="278"/>
      <c r="AK39" s="278"/>
      <c r="AL39" s="279"/>
      <c r="AM39" s="278"/>
      <c r="AN39" s="278"/>
      <c r="AO39" s="278"/>
      <c r="AP39" s="278"/>
      <c r="AQ39" s="278"/>
      <c r="AR39" s="278"/>
      <c r="AS39" s="278"/>
      <c r="AT39" s="278"/>
      <c r="AU39" s="278"/>
      <c r="AV39" s="278"/>
      <c r="AW39" s="278"/>
      <c r="AX39" s="279"/>
      <c r="AY39" s="278"/>
      <c r="AZ39" s="278"/>
      <c r="BA39" s="278"/>
      <c r="BB39" s="278"/>
      <c r="BC39" s="278"/>
      <c r="BD39" s="278"/>
      <c r="BE39" s="278"/>
      <c r="BF39" s="278"/>
      <c r="BG39" s="278"/>
      <c r="BH39" s="278"/>
      <c r="BI39" s="278"/>
      <c r="BJ39" s="279"/>
      <c r="BK39" s="583">
        <f t="shared" si="20"/>
        <v>42</v>
      </c>
      <c r="BL39" s="584">
        <f t="shared" si="21"/>
        <v>42</v>
      </c>
      <c r="BM39" s="290">
        <v>0.2</v>
      </c>
      <c r="BN39" s="290">
        <v>0.6</v>
      </c>
      <c r="BO39" s="290">
        <v>120</v>
      </c>
      <c r="BP39" s="525">
        <v>645</v>
      </c>
      <c r="BQ39" s="581">
        <f t="shared" si="2"/>
        <v>1008</v>
      </c>
      <c r="BR39" s="582">
        <f t="shared" si="3"/>
        <v>16254</v>
      </c>
      <c r="BS39" s="155"/>
    </row>
    <row r="40" spans="1:71" ht="13" x14ac:dyDescent="0.3">
      <c r="A40" s="296" t="s">
        <v>511</v>
      </c>
      <c r="B40" s="154"/>
      <c r="C40" s="277"/>
      <c r="D40" s="278"/>
      <c r="E40" s="278"/>
      <c r="F40" s="278"/>
      <c r="G40" s="278"/>
      <c r="H40" s="278"/>
      <c r="I40" s="278"/>
      <c r="J40" s="278"/>
      <c r="K40" s="278"/>
      <c r="L40" s="278"/>
      <c r="M40" s="278">
        <v>1</v>
      </c>
      <c r="N40" s="279">
        <v>1</v>
      </c>
      <c r="O40" s="278"/>
      <c r="P40" s="278"/>
      <c r="Q40" s="278"/>
      <c r="R40" s="278"/>
      <c r="S40" s="278"/>
      <c r="T40" s="278"/>
      <c r="U40" s="278"/>
      <c r="V40" s="278"/>
      <c r="W40" s="278"/>
      <c r="X40" s="278"/>
      <c r="Y40" s="278"/>
      <c r="Z40" s="279"/>
      <c r="AA40" s="278"/>
      <c r="AB40" s="278"/>
      <c r="AC40" s="278"/>
      <c r="AD40" s="278"/>
      <c r="AE40" s="278"/>
      <c r="AF40" s="278"/>
      <c r="AG40" s="278"/>
      <c r="AH40" s="278"/>
      <c r="AI40" s="278"/>
      <c r="AJ40" s="278"/>
      <c r="AK40" s="278"/>
      <c r="AL40" s="279"/>
      <c r="AM40" s="278"/>
      <c r="AN40" s="278"/>
      <c r="AO40" s="278"/>
      <c r="AP40" s="278"/>
      <c r="AQ40" s="278"/>
      <c r="AR40" s="278"/>
      <c r="AS40" s="278"/>
      <c r="AT40" s="278"/>
      <c r="AU40" s="278"/>
      <c r="AV40" s="278"/>
      <c r="AW40" s="278"/>
      <c r="AX40" s="279"/>
      <c r="AY40" s="278"/>
      <c r="AZ40" s="278"/>
      <c r="BA40" s="278"/>
      <c r="BB40" s="278"/>
      <c r="BC40" s="278"/>
      <c r="BD40" s="278"/>
      <c r="BE40" s="278"/>
      <c r="BF40" s="278"/>
      <c r="BG40" s="278"/>
      <c r="BH40" s="278"/>
      <c r="BI40" s="278"/>
      <c r="BJ40" s="279"/>
      <c r="BK40" s="583">
        <f t="shared" si="20"/>
        <v>42</v>
      </c>
      <c r="BL40" s="584">
        <f t="shared" si="21"/>
        <v>42</v>
      </c>
      <c r="BM40" s="290">
        <v>0.1</v>
      </c>
      <c r="BN40" s="290">
        <v>0.6</v>
      </c>
      <c r="BO40" s="290">
        <v>120</v>
      </c>
      <c r="BP40" s="525">
        <v>746</v>
      </c>
      <c r="BQ40" s="581">
        <f t="shared" si="2"/>
        <v>504</v>
      </c>
      <c r="BR40" s="582">
        <f t="shared" si="3"/>
        <v>18799.2</v>
      </c>
      <c r="BS40" s="653">
        <f>SUM(BQ35:BR40)</f>
        <v>128967.29999999999</v>
      </c>
    </row>
    <row r="41" spans="1:71" x14ac:dyDescent="0.3">
      <c r="A41" s="295" t="s">
        <v>371</v>
      </c>
      <c r="B41" s="641"/>
      <c r="C41" s="642"/>
      <c r="D41" s="643"/>
      <c r="E41" s="643"/>
      <c r="F41" s="643"/>
      <c r="G41" s="643"/>
      <c r="H41" s="643"/>
      <c r="I41" s="643"/>
      <c r="J41" s="643"/>
      <c r="K41" s="643"/>
      <c r="L41" s="643"/>
      <c r="M41" s="643"/>
      <c r="N41" s="644"/>
      <c r="O41" s="643"/>
      <c r="P41" s="643"/>
      <c r="Q41" s="643"/>
      <c r="R41" s="643"/>
      <c r="S41" s="643"/>
      <c r="T41" s="643"/>
      <c r="U41" s="643"/>
      <c r="V41" s="643"/>
      <c r="W41" s="643"/>
      <c r="X41" s="643"/>
      <c r="Y41" s="643"/>
      <c r="Z41" s="644"/>
      <c r="AA41" s="643"/>
      <c r="AB41" s="643"/>
      <c r="AC41" s="643"/>
      <c r="AD41" s="643"/>
      <c r="AE41" s="643"/>
      <c r="AF41" s="643"/>
      <c r="AG41" s="643"/>
      <c r="AH41" s="643"/>
      <c r="AI41" s="643"/>
      <c r="AJ41" s="643"/>
      <c r="AK41" s="643"/>
      <c r="AL41" s="644"/>
      <c r="AM41" s="643"/>
      <c r="AN41" s="643"/>
      <c r="AO41" s="643"/>
      <c r="AP41" s="643"/>
      <c r="AQ41" s="643"/>
      <c r="AR41" s="643"/>
      <c r="AS41" s="643"/>
      <c r="AT41" s="643"/>
      <c r="AU41" s="643"/>
      <c r="AV41" s="643"/>
      <c r="AW41" s="643"/>
      <c r="AX41" s="644"/>
      <c r="AY41" s="643"/>
      <c r="AZ41" s="643"/>
      <c r="BA41" s="643"/>
      <c r="BB41" s="643"/>
      <c r="BC41" s="643"/>
      <c r="BD41" s="643"/>
      <c r="BE41" s="643"/>
      <c r="BF41" s="643"/>
      <c r="BG41" s="643"/>
      <c r="BH41" s="643"/>
      <c r="BI41" s="643"/>
      <c r="BJ41" s="644"/>
      <c r="BK41" s="527"/>
      <c r="BL41" s="528"/>
      <c r="BM41" s="275"/>
      <c r="BN41" s="275"/>
      <c r="BO41" s="275"/>
      <c r="BP41" s="526"/>
      <c r="BQ41" s="581"/>
      <c r="BR41" s="582"/>
      <c r="BS41" s="155"/>
    </row>
    <row r="42" spans="1:71" ht="13" x14ac:dyDescent="0.3">
      <c r="A42" s="296" t="s">
        <v>512</v>
      </c>
      <c r="B42" s="154"/>
      <c r="C42" s="277">
        <v>1</v>
      </c>
      <c r="D42" s="278">
        <v>1</v>
      </c>
      <c r="E42" s="278">
        <v>1</v>
      </c>
      <c r="F42" s="278"/>
      <c r="G42" s="278"/>
      <c r="H42" s="278"/>
      <c r="I42" s="278"/>
      <c r="J42" s="278"/>
      <c r="K42" s="278"/>
      <c r="L42" s="278"/>
      <c r="M42" s="278"/>
      <c r="N42" s="279"/>
      <c r="O42" s="278"/>
      <c r="P42" s="278"/>
      <c r="Q42" s="278"/>
      <c r="R42" s="278"/>
      <c r="S42" s="278"/>
      <c r="T42" s="278"/>
      <c r="U42" s="278"/>
      <c r="V42" s="278"/>
      <c r="W42" s="278"/>
      <c r="X42" s="278"/>
      <c r="Y42" s="278"/>
      <c r="Z42" s="279"/>
      <c r="AA42" s="278"/>
      <c r="AB42" s="278"/>
      <c r="AC42" s="278"/>
      <c r="AD42" s="278"/>
      <c r="AE42" s="278"/>
      <c r="AF42" s="278"/>
      <c r="AG42" s="278"/>
      <c r="AH42" s="278"/>
      <c r="AI42" s="278"/>
      <c r="AJ42" s="278"/>
      <c r="AK42" s="278"/>
      <c r="AL42" s="279"/>
      <c r="AM42" s="278"/>
      <c r="AN42" s="278"/>
      <c r="AO42" s="278"/>
      <c r="AP42" s="278"/>
      <c r="AQ42" s="278"/>
      <c r="AR42" s="278"/>
      <c r="AS42" s="278"/>
      <c r="AT42" s="278"/>
      <c r="AU42" s="278"/>
      <c r="AV42" s="278"/>
      <c r="AW42" s="278"/>
      <c r="AX42" s="279"/>
      <c r="AY42" s="278"/>
      <c r="AZ42" s="278"/>
      <c r="BA42" s="278"/>
      <c r="BB42" s="278"/>
      <c r="BC42" s="278"/>
      <c r="BD42" s="278"/>
      <c r="BE42" s="278"/>
      <c r="BF42" s="278"/>
      <c r="BG42" s="278"/>
      <c r="BH42" s="278"/>
      <c r="BI42" s="278"/>
      <c r="BJ42" s="279"/>
      <c r="BK42" s="583">
        <f t="shared" ref="BK42:BK47" si="24">COUNTA(C42:AX42)*21</f>
        <v>63</v>
      </c>
      <c r="BL42" s="584">
        <f t="shared" ref="BL42:BL47" si="25">COUNTA(C42:AX42)*21</f>
        <v>63</v>
      </c>
      <c r="BM42" s="290">
        <v>0.2</v>
      </c>
      <c r="BN42" s="290">
        <v>0.7</v>
      </c>
      <c r="BO42" s="290">
        <v>120</v>
      </c>
      <c r="BP42" s="525">
        <v>743</v>
      </c>
      <c r="BQ42" s="581">
        <f t="shared" si="2"/>
        <v>1512.0000000000002</v>
      </c>
      <c r="BR42" s="582">
        <f t="shared" si="3"/>
        <v>32766.299999999996</v>
      </c>
      <c r="BS42" s="155"/>
    </row>
    <row r="43" spans="1:71" ht="13" x14ac:dyDescent="0.3">
      <c r="A43" s="296" t="s">
        <v>513</v>
      </c>
      <c r="B43" s="154"/>
      <c r="C43" s="277"/>
      <c r="D43" s="278">
        <v>1</v>
      </c>
      <c r="E43" s="278">
        <v>1</v>
      </c>
      <c r="F43" s="278">
        <v>1</v>
      </c>
      <c r="G43" s="278"/>
      <c r="H43" s="278"/>
      <c r="I43" s="278"/>
      <c r="J43" s="278"/>
      <c r="K43" s="278"/>
      <c r="L43" s="278"/>
      <c r="M43" s="278"/>
      <c r="N43" s="279"/>
      <c r="O43" s="278"/>
      <c r="P43" s="278"/>
      <c r="Q43" s="278"/>
      <c r="R43" s="278"/>
      <c r="S43" s="278"/>
      <c r="T43" s="278"/>
      <c r="U43" s="278"/>
      <c r="V43" s="278"/>
      <c r="W43" s="278"/>
      <c r="X43" s="278"/>
      <c r="Y43" s="278"/>
      <c r="Z43" s="279"/>
      <c r="AA43" s="278"/>
      <c r="AB43" s="278"/>
      <c r="AC43" s="278"/>
      <c r="AD43" s="278"/>
      <c r="AE43" s="278"/>
      <c r="AF43" s="278"/>
      <c r="AG43" s="278"/>
      <c r="AH43" s="278"/>
      <c r="AI43" s="278"/>
      <c r="AJ43" s="278"/>
      <c r="AK43" s="278"/>
      <c r="AL43" s="279"/>
      <c r="AM43" s="278"/>
      <c r="AN43" s="278"/>
      <c r="AO43" s="278"/>
      <c r="AP43" s="278"/>
      <c r="AQ43" s="278"/>
      <c r="AR43" s="278"/>
      <c r="AS43" s="278"/>
      <c r="AT43" s="278"/>
      <c r="AU43" s="278"/>
      <c r="AV43" s="278"/>
      <c r="AW43" s="278"/>
      <c r="AX43" s="279"/>
      <c r="AY43" s="278"/>
      <c r="AZ43" s="278"/>
      <c r="BA43" s="278"/>
      <c r="BB43" s="278"/>
      <c r="BC43" s="278"/>
      <c r="BD43" s="278"/>
      <c r="BE43" s="278"/>
      <c r="BF43" s="278"/>
      <c r="BG43" s="278"/>
      <c r="BH43" s="278"/>
      <c r="BI43" s="278"/>
      <c r="BJ43" s="279"/>
      <c r="BK43" s="583">
        <f t="shared" si="24"/>
        <v>63</v>
      </c>
      <c r="BL43" s="584">
        <f t="shared" si="25"/>
        <v>63</v>
      </c>
      <c r="BM43" s="290">
        <v>0.2</v>
      </c>
      <c r="BN43" s="290">
        <v>0.55000000000000004</v>
      </c>
      <c r="BO43" s="290">
        <v>120</v>
      </c>
      <c r="BP43" s="525">
        <v>740</v>
      </c>
      <c r="BQ43" s="581">
        <f t="shared" ref="BQ43" si="26">BK43*BM43*BO43</f>
        <v>1512.0000000000002</v>
      </c>
      <c r="BR43" s="582">
        <f t="shared" ref="BR43" si="27">BL43*BN43*BP43</f>
        <v>25641.000000000004</v>
      </c>
      <c r="BS43" s="155"/>
    </row>
    <row r="44" spans="1:71" ht="13" x14ac:dyDescent="0.3">
      <c r="A44" s="296" t="s">
        <v>514</v>
      </c>
      <c r="B44" s="154"/>
      <c r="C44" s="277"/>
      <c r="D44" s="278"/>
      <c r="E44" s="278"/>
      <c r="F44" s="278"/>
      <c r="G44" s="278">
        <v>1</v>
      </c>
      <c r="H44" s="278">
        <v>1</v>
      </c>
      <c r="I44" s="278">
        <v>1</v>
      </c>
      <c r="J44" s="278"/>
      <c r="K44" s="278"/>
      <c r="L44" s="278"/>
      <c r="M44" s="278"/>
      <c r="N44" s="279"/>
      <c r="O44" s="278"/>
      <c r="P44" s="278"/>
      <c r="Q44" s="278"/>
      <c r="R44" s="278"/>
      <c r="S44" s="278"/>
      <c r="T44" s="278"/>
      <c r="U44" s="278"/>
      <c r="V44" s="278"/>
      <c r="W44" s="278"/>
      <c r="X44" s="278"/>
      <c r="Y44" s="278"/>
      <c r="Z44" s="279"/>
      <c r="AA44" s="278"/>
      <c r="AB44" s="278"/>
      <c r="AC44" s="278"/>
      <c r="AD44" s="278"/>
      <c r="AE44" s="278"/>
      <c r="AF44" s="278"/>
      <c r="AG44" s="278"/>
      <c r="AH44" s="278"/>
      <c r="AI44" s="278"/>
      <c r="AJ44" s="278"/>
      <c r="AK44" s="278"/>
      <c r="AL44" s="279"/>
      <c r="AM44" s="278"/>
      <c r="AN44" s="278"/>
      <c r="AO44" s="278"/>
      <c r="AP44" s="278"/>
      <c r="AQ44" s="278"/>
      <c r="AR44" s="278"/>
      <c r="AS44" s="278"/>
      <c r="AT44" s="278"/>
      <c r="AU44" s="278"/>
      <c r="AV44" s="278"/>
      <c r="AW44" s="278"/>
      <c r="AX44" s="279"/>
      <c r="AY44" s="278"/>
      <c r="AZ44" s="278"/>
      <c r="BA44" s="278"/>
      <c r="BB44" s="278"/>
      <c r="BC44" s="278"/>
      <c r="BD44" s="278"/>
      <c r="BE44" s="278"/>
      <c r="BF44" s="278"/>
      <c r="BG44" s="278"/>
      <c r="BH44" s="278"/>
      <c r="BI44" s="278"/>
      <c r="BJ44" s="279"/>
      <c r="BK44" s="583">
        <f t="shared" si="24"/>
        <v>63</v>
      </c>
      <c r="BL44" s="584">
        <f t="shared" si="25"/>
        <v>63</v>
      </c>
      <c r="BM44" s="290">
        <v>0.1</v>
      </c>
      <c r="BN44" s="290">
        <v>0.5</v>
      </c>
      <c r="BO44" s="290">
        <v>120</v>
      </c>
      <c r="BP44" s="525">
        <v>657</v>
      </c>
      <c r="BQ44" s="581">
        <f t="shared" si="2"/>
        <v>756.00000000000011</v>
      </c>
      <c r="BR44" s="582">
        <f t="shared" si="3"/>
        <v>20695.5</v>
      </c>
      <c r="BS44" s="155"/>
    </row>
    <row r="45" spans="1:71" ht="13" x14ac:dyDescent="0.3">
      <c r="A45" s="296" t="s">
        <v>515</v>
      </c>
      <c r="B45" s="154"/>
      <c r="C45" s="277"/>
      <c r="D45" s="278"/>
      <c r="E45" s="278"/>
      <c r="F45" s="278"/>
      <c r="G45" s="278"/>
      <c r="H45" s="278"/>
      <c r="I45" s="278">
        <v>1</v>
      </c>
      <c r="J45" s="278">
        <v>1</v>
      </c>
      <c r="K45" s="278">
        <v>1</v>
      </c>
      <c r="L45" s="278">
        <v>1</v>
      </c>
      <c r="M45" s="278"/>
      <c r="N45" s="279"/>
      <c r="O45" s="278"/>
      <c r="P45" s="278"/>
      <c r="Q45" s="278"/>
      <c r="R45" s="278"/>
      <c r="S45" s="278"/>
      <c r="T45" s="278"/>
      <c r="U45" s="278"/>
      <c r="V45" s="278"/>
      <c r="W45" s="278"/>
      <c r="X45" s="278"/>
      <c r="Y45" s="278"/>
      <c r="Z45" s="279"/>
      <c r="AA45" s="278"/>
      <c r="AB45" s="278"/>
      <c r="AC45" s="278"/>
      <c r="AD45" s="278"/>
      <c r="AE45" s="278"/>
      <c r="AF45" s="278"/>
      <c r="AG45" s="278"/>
      <c r="AH45" s="278"/>
      <c r="AI45" s="278"/>
      <c r="AJ45" s="278"/>
      <c r="AK45" s="278"/>
      <c r="AL45" s="279"/>
      <c r="AM45" s="278"/>
      <c r="AN45" s="278"/>
      <c r="AO45" s="278"/>
      <c r="AP45" s="278"/>
      <c r="AQ45" s="278"/>
      <c r="AR45" s="278"/>
      <c r="AS45" s="278"/>
      <c r="AT45" s="278"/>
      <c r="AU45" s="278"/>
      <c r="AV45" s="278"/>
      <c r="AW45" s="278"/>
      <c r="AX45" s="279"/>
      <c r="AY45" s="278"/>
      <c r="AZ45" s="278"/>
      <c r="BA45" s="278"/>
      <c r="BB45" s="278"/>
      <c r="BC45" s="278"/>
      <c r="BD45" s="278"/>
      <c r="BE45" s="278"/>
      <c r="BF45" s="278"/>
      <c r="BG45" s="278"/>
      <c r="BH45" s="278"/>
      <c r="BI45" s="278"/>
      <c r="BJ45" s="279"/>
      <c r="BK45" s="583">
        <f t="shared" si="24"/>
        <v>84</v>
      </c>
      <c r="BL45" s="584">
        <f t="shared" si="25"/>
        <v>84</v>
      </c>
      <c r="BM45" s="290">
        <v>0.1</v>
      </c>
      <c r="BN45" s="290">
        <v>0.4</v>
      </c>
      <c r="BO45" s="290">
        <v>120</v>
      </c>
      <c r="BP45" s="525">
        <v>753</v>
      </c>
      <c r="BQ45" s="581">
        <f t="shared" si="2"/>
        <v>1008</v>
      </c>
      <c r="BR45" s="582">
        <f t="shared" si="3"/>
        <v>25300.799999999999</v>
      </c>
      <c r="BS45" s="155"/>
    </row>
    <row r="46" spans="1:71" ht="13" x14ac:dyDescent="0.3">
      <c r="A46" s="296" t="s">
        <v>516</v>
      </c>
      <c r="B46" s="154"/>
      <c r="C46" s="277"/>
      <c r="D46" s="278"/>
      <c r="E46" s="278"/>
      <c r="F46" s="278"/>
      <c r="G46" s="278"/>
      <c r="H46" s="278"/>
      <c r="I46" s="278"/>
      <c r="J46" s="278"/>
      <c r="K46" s="278"/>
      <c r="L46" s="278">
        <v>1</v>
      </c>
      <c r="M46" s="278">
        <v>1</v>
      </c>
      <c r="N46" s="279"/>
      <c r="O46" s="278"/>
      <c r="P46" s="278"/>
      <c r="Q46" s="278"/>
      <c r="R46" s="278"/>
      <c r="S46" s="278"/>
      <c r="T46" s="278"/>
      <c r="U46" s="278"/>
      <c r="V46" s="278"/>
      <c r="W46" s="278"/>
      <c r="X46" s="278"/>
      <c r="Y46" s="278"/>
      <c r="Z46" s="279"/>
      <c r="AA46" s="278"/>
      <c r="AB46" s="278"/>
      <c r="AC46" s="278"/>
      <c r="AD46" s="278"/>
      <c r="AE46" s="278"/>
      <c r="AF46" s="278"/>
      <c r="AG46" s="278"/>
      <c r="AH46" s="278"/>
      <c r="AI46" s="278"/>
      <c r="AJ46" s="278"/>
      <c r="AK46" s="278"/>
      <c r="AL46" s="279"/>
      <c r="AM46" s="278"/>
      <c r="AN46" s="278"/>
      <c r="AO46" s="278"/>
      <c r="AP46" s="278"/>
      <c r="AQ46" s="278"/>
      <c r="AR46" s="278"/>
      <c r="AS46" s="278"/>
      <c r="AT46" s="278"/>
      <c r="AU46" s="278"/>
      <c r="AV46" s="278"/>
      <c r="AW46" s="278"/>
      <c r="AX46" s="279"/>
      <c r="AY46" s="278"/>
      <c r="AZ46" s="278"/>
      <c r="BA46" s="278"/>
      <c r="BB46" s="278"/>
      <c r="BC46" s="278"/>
      <c r="BD46" s="278"/>
      <c r="BE46" s="278"/>
      <c r="BF46" s="278"/>
      <c r="BG46" s="278"/>
      <c r="BH46" s="278"/>
      <c r="BI46" s="278"/>
      <c r="BJ46" s="279"/>
      <c r="BK46" s="583">
        <f t="shared" si="24"/>
        <v>42</v>
      </c>
      <c r="BL46" s="584">
        <f t="shared" si="25"/>
        <v>42</v>
      </c>
      <c r="BM46" s="290">
        <v>0.2</v>
      </c>
      <c r="BN46" s="290">
        <v>0.6</v>
      </c>
      <c r="BO46" s="290">
        <v>120</v>
      </c>
      <c r="BP46" s="525">
        <v>645</v>
      </c>
      <c r="BQ46" s="581">
        <f t="shared" si="2"/>
        <v>1008</v>
      </c>
      <c r="BR46" s="582">
        <f t="shared" si="3"/>
        <v>16254</v>
      </c>
      <c r="BS46" s="155"/>
    </row>
    <row r="47" spans="1:71" ht="13" x14ac:dyDescent="0.3">
      <c r="A47" s="296" t="s">
        <v>517</v>
      </c>
      <c r="B47" s="154"/>
      <c r="C47" s="277"/>
      <c r="D47" s="278"/>
      <c r="E47" s="278"/>
      <c r="F47" s="278"/>
      <c r="G47" s="278"/>
      <c r="H47" s="278"/>
      <c r="I47" s="278"/>
      <c r="J47" s="278"/>
      <c r="K47" s="278"/>
      <c r="L47" s="278"/>
      <c r="M47" s="278">
        <v>1</v>
      </c>
      <c r="N47" s="279">
        <v>1</v>
      </c>
      <c r="O47" s="278"/>
      <c r="P47" s="278"/>
      <c r="Q47" s="278"/>
      <c r="R47" s="278"/>
      <c r="S47" s="278"/>
      <c r="T47" s="278"/>
      <c r="U47" s="278"/>
      <c r="V47" s="278"/>
      <c r="W47" s="278"/>
      <c r="X47" s="278"/>
      <c r="Y47" s="278"/>
      <c r="Z47" s="279"/>
      <c r="AA47" s="278"/>
      <c r="AB47" s="278"/>
      <c r="AC47" s="278"/>
      <c r="AD47" s="278"/>
      <c r="AE47" s="278"/>
      <c r="AF47" s="278"/>
      <c r="AG47" s="278"/>
      <c r="AH47" s="278"/>
      <c r="AI47" s="278"/>
      <c r="AJ47" s="278"/>
      <c r="AK47" s="278"/>
      <c r="AL47" s="279"/>
      <c r="AM47" s="278"/>
      <c r="AN47" s="278"/>
      <c r="AO47" s="278"/>
      <c r="AP47" s="278"/>
      <c r="AQ47" s="278"/>
      <c r="AR47" s="278"/>
      <c r="AS47" s="278"/>
      <c r="AT47" s="278"/>
      <c r="AU47" s="278"/>
      <c r="AV47" s="278"/>
      <c r="AW47" s="278"/>
      <c r="AX47" s="279"/>
      <c r="AY47" s="278"/>
      <c r="AZ47" s="278"/>
      <c r="BA47" s="278"/>
      <c r="BB47" s="278"/>
      <c r="BC47" s="278"/>
      <c r="BD47" s="278"/>
      <c r="BE47" s="278"/>
      <c r="BF47" s="278"/>
      <c r="BG47" s="278"/>
      <c r="BH47" s="278"/>
      <c r="BI47" s="278"/>
      <c r="BJ47" s="279"/>
      <c r="BK47" s="583">
        <f t="shared" si="24"/>
        <v>42</v>
      </c>
      <c r="BL47" s="584">
        <f t="shared" si="25"/>
        <v>42</v>
      </c>
      <c r="BM47" s="290">
        <v>0.1</v>
      </c>
      <c r="BN47" s="290">
        <v>0.5</v>
      </c>
      <c r="BO47" s="290">
        <v>120</v>
      </c>
      <c r="BP47" s="525">
        <v>746</v>
      </c>
      <c r="BQ47" s="581">
        <f t="shared" si="2"/>
        <v>504</v>
      </c>
      <c r="BR47" s="582">
        <f t="shared" si="3"/>
        <v>15666</v>
      </c>
      <c r="BS47" s="653">
        <f>SUM(BQ42:BR47)</f>
        <v>142623.6</v>
      </c>
    </row>
    <row r="48" spans="1:71" x14ac:dyDescent="0.3">
      <c r="A48" s="295" t="s">
        <v>459</v>
      </c>
      <c r="B48" s="641"/>
      <c r="C48" s="642"/>
      <c r="D48" s="643"/>
      <c r="E48" s="643"/>
      <c r="F48" s="643"/>
      <c r="G48" s="643"/>
      <c r="H48" s="643"/>
      <c r="I48" s="643"/>
      <c r="J48" s="643"/>
      <c r="K48" s="643"/>
      <c r="L48" s="643"/>
      <c r="M48" s="643"/>
      <c r="N48" s="644"/>
      <c r="O48" s="643"/>
      <c r="P48" s="643"/>
      <c r="Q48" s="643"/>
      <c r="R48" s="643"/>
      <c r="S48" s="643"/>
      <c r="T48" s="643"/>
      <c r="U48" s="643"/>
      <c r="V48" s="643"/>
      <c r="W48" s="643"/>
      <c r="X48" s="643"/>
      <c r="Y48" s="643"/>
      <c r="Z48" s="644"/>
      <c r="AA48" s="643"/>
      <c r="AB48" s="643"/>
      <c r="AC48" s="643"/>
      <c r="AD48" s="643"/>
      <c r="AE48" s="643"/>
      <c r="AF48" s="643"/>
      <c r="AG48" s="643"/>
      <c r="AH48" s="643"/>
      <c r="AI48" s="643"/>
      <c r="AJ48" s="643"/>
      <c r="AK48" s="643"/>
      <c r="AL48" s="644"/>
      <c r="AM48" s="643"/>
      <c r="AN48" s="643"/>
      <c r="AO48" s="643"/>
      <c r="AP48" s="643"/>
      <c r="AQ48" s="643"/>
      <c r="AR48" s="643"/>
      <c r="AS48" s="643"/>
      <c r="AT48" s="643"/>
      <c r="AU48" s="643"/>
      <c r="AV48" s="643"/>
      <c r="AW48" s="643"/>
      <c r="AX48" s="644"/>
      <c r="AY48" s="643"/>
      <c r="AZ48" s="643"/>
      <c r="BA48" s="643"/>
      <c r="BB48" s="643"/>
      <c r="BC48" s="643"/>
      <c r="BD48" s="643"/>
      <c r="BE48" s="643"/>
      <c r="BF48" s="643"/>
      <c r="BG48" s="643"/>
      <c r="BH48" s="643"/>
      <c r="BI48" s="643"/>
      <c r="BJ48" s="644"/>
      <c r="BK48" s="527"/>
      <c r="BL48" s="528"/>
      <c r="BM48" s="275"/>
      <c r="BN48" s="275"/>
      <c r="BO48" s="275"/>
      <c r="BP48" s="526"/>
      <c r="BQ48" s="581"/>
      <c r="BR48" s="582"/>
      <c r="BS48" s="155"/>
    </row>
    <row r="49" spans="1:71" ht="13" x14ac:dyDescent="0.3">
      <c r="A49" s="296" t="s">
        <v>518</v>
      </c>
      <c r="B49" s="154"/>
      <c r="C49" s="277">
        <v>1</v>
      </c>
      <c r="D49" s="278">
        <v>1</v>
      </c>
      <c r="E49" s="278">
        <v>1</v>
      </c>
      <c r="F49" s="278">
        <v>1</v>
      </c>
      <c r="G49" s="278"/>
      <c r="H49" s="278"/>
      <c r="I49" s="278"/>
      <c r="J49" s="278"/>
      <c r="K49" s="278"/>
      <c r="L49" s="278"/>
      <c r="M49" s="278"/>
      <c r="N49" s="279"/>
      <c r="O49" s="278"/>
      <c r="P49" s="278"/>
      <c r="Q49" s="278"/>
      <c r="R49" s="278"/>
      <c r="S49" s="278"/>
      <c r="T49" s="278"/>
      <c r="U49" s="278"/>
      <c r="V49" s="278"/>
      <c r="W49" s="278"/>
      <c r="X49" s="278"/>
      <c r="Y49" s="278"/>
      <c r="Z49" s="279"/>
      <c r="AA49" s="278"/>
      <c r="AB49" s="278"/>
      <c r="AC49" s="278"/>
      <c r="AD49" s="278"/>
      <c r="AE49" s="278"/>
      <c r="AF49" s="278"/>
      <c r="AG49" s="278"/>
      <c r="AH49" s="278"/>
      <c r="AI49" s="278"/>
      <c r="AJ49" s="278"/>
      <c r="AK49" s="278"/>
      <c r="AL49" s="279"/>
      <c r="AM49" s="278"/>
      <c r="AN49" s="278"/>
      <c r="AO49" s="278"/>
      <c r="AP49" s="278"/>
      <c r="AQ49" s="278"/>
      <c r="AR49" s="278"/>
      <c r="AS49" s="278"/>
      <c r="AT49" s="278"/>
      <c r="AU49" s="278"/>
      <c r="AV49" s="278"/>
      <c r="AW49" s="278"/>
      <c r="AX49" s="279"/>
      <c r="AY49" s="278"/>
      <c r="AZ49" s="278"/>
      <c r="BA49" s="278"/>
      <c r="BB49" s="278"/>
      <c r="BC49" s="278"/>
      <c r="BD49" s="278"/>
      <c r="BE49" s="278"/>
      <c r="BF49" s="278"/>
      <c r="BG49" s="278"/>
      <c r="BH49" s="278"/>
      <c r="BI49" s="278"/>
      <c r="BJ49" s="279"/>
      <c r="BK49" s="583">
        <f t="shared" ref="BK49:BK56" si="28">COUNTA(C49:AX49)*21</f>
        <v>84</v>
      </c>
      <c r="BL49" s="584">
        <f t="shared" ref="BL49:BL56" si="29">COUNTA(C49:AX49)*21</f>
        <v>84</v>
      </c>
      <c r="BM49" s="290">
        <v>0.2</v>
      </c>
      <c r="BN49" s="290">
        <v>0.6</v>
      </c>
      <c r="BO49" s="290">
        <v>120</v>
      </c>
      <c r="BP49" s="525">
        <v>767</v>
      </c>
      <c r="BQ49" s="581">
        <f t="shared" si="2"/>
        <v>2016</v>
      </c>
      <c r="BR49" s="582">
        <f t="shared" si="3"/>
        <v>38656.799999999996</v>
      </c>
      <c r="BS49" s="155"/>
    </row>
    <row r="50" spans="1:71" ht="13" x14ac:dyDescent="0.3">
      <c r="A50" s="296" t="s">
        <v>519</v>
      </c>
      <c r="B50" s="154"/>
      <c r="C50" s="277"/>
      <c r="D50" s="278">
        <v>1</v>
      </c>
      <c r="E50" s="278">
        <v>1</v>
      </c>
      <c r="F50" s="278">
        <v>1</v>
      </c>
      <c r="G50" s="278">
        <v>1</v>
      </c>
      <c r="H50" s="278"/>
      <c r="I50" s="278"/>
      <c r="J50" s="278"/>
      <c r="K50" s="278"/>
      <c r="L50" s="278"/>
      <c r="M50" s="278"/>
      <c r="N50" s="279"/>
      <c r="O50" s="278"/>
      <c r="P50" s="278"/>
      <c r="Q50" s="278"/>
      <c r="R50" s="278"/>
      <c r="S50" s="278"/>
      <c r="T50" s="278"/>
      <c r="U50" s="278"/>
      <c r="V50" s="278"/>
      <c r="W50" s="278"/>
      <c r="X50" s="278"/>
      <c r="Y50" s="278"/>
      <c r="Z50" s="279"/>
      <c r="AA50" s="278"/>
      <c r="AB50" s="278"/>
      <c r="AC50" s="278"/>
      <c r="AD50" s="278"/>
      <c r="AE50" s="278"/>
      <c r="AF50" s="278"/>
      <c r="AG50" s="278"/>
      <c r="AH50" s="278"/>
      <c r="AI50" s="278"/>
      <c r="AJ50" s="278"/>
      <c r="AK50" s="278"/>
      <c r="AL50" s="279"/>
      <c r="AM50" s="278"/>
      <c r="AN50" s="278"/>
      <c r="AO50" s="278"/>
      <c r="AP50" s="278"/>
      <c r="AQ50" s="278"/>
      <c r="AR50" s="278"/>
      <c r="AS50" s="278"/>
      <c r="AT50" s="278"/>
      <c r="AU50" s="278"/>
      <c r="AV50" s="278"/>
      <c r="AW50" s="278"/>
      <c r="AX50" s="279"/>
      <c r="AY50" s="278"/>
      <c r="AZ50" s="278"/>
      <c r="BA50" s="278"/>
      <c r="BB50" s="278"/>
      <c r="BC50" s="278"/>
      <c r="BD50" s="278"/>
      <c r="BE50" s="278"/>
      <c r="BF50" s="278"/>
      <c r="BG50" s="278"/>
      <c r="BH50" s="278"/>
      <c r="BI50" s="278"/>
      <c r="BJ50" s="279"/>
      <c r="BK50" s="583">
        <f t="shared" si="28"/>
        <v>84</v>
      </c>
      <c r="BL50" s="584">
        <f t="shared" si="29"/>
        <v>84</v>
      </c>
      <c r="BM50" s="290">
        <v>0.2</v>
      </c>
      <c r="BN50" s="290">
        <v>0.4</v>
      </c>
      <c r="BO50" s="290">
        <v>120</v>
      </c>
      <c r="BP50" s="525">
        <v>740</v>
      </c>
      <c r="BQ50" s="581">
        <f t="shared" ref="BQ50:BQ53" si="30">BK50*BM50*BO50</f>
        <v>2016</v>
      </c>
      <c r="BR50" s="582">
        <f t="shared" ref="BR50:BR53" si="31">BL50*BN50*BP50</f>
        <v>24864</v>
      </c>
      <c r="BS50" s="155"/>
    </row>
    <row r="51" spans="1:71" ht="13" x14ac:dyDescent="0.3">
      <c r="A51" s="296" t="s">
        <v>520</v>
      </c>
      <c r="B51" s="154"/>
      <c r="C51" s="277"/>
      <c r="D51" s="278"/>
      <c r="E51" s="278"/>
      <c r="F51" s="278"/>
      <c r="G51" s="278"/>
      <c r="H51" s="278">
        <v>1</v>
      </c>
      <c r="I51" s="278">
        <v>1</v>
      </c>
      <c r="J51" s="278">
        <v>1</v>
      </c>
      <c r="K51" s="278"/>
      <c r="L51" s="278"/>
      <c r="M51" s="278"/>
      <c r="N51" s="279"/>
      <c r="O51" s="278"/>
      <c r="P51" s="278"/>
      <c r="Q51" s="278"/>
      <c r="R51" s="278"/>
      <c r="S51" s="278"/>
      <c r="T51" s="278"/>
      <c r="U51" s="278"/>
      <c r="V51" s="278"/>
      <c r="W51" s="278"/>
      <c r="X51" s="278"/>
      <c r="Y51" s="278"/>
      <c r="Z51" s="279"/>
      <c r="AA51" s="278"/>
      <c r="AB51" s="278"/>
      <c r="AC51" s="278"/>
      <c r="AD51" s="278"/>
      <c r="AE51" s="278"/>
      <c r="AF51" s="278"/>
      <c r="AG51" s="278"/>
      <c r="AH51" s="278"/>
      <c r="AI51" s="278"/>
      <c r="AJ51" s="278"/>
      <c r="AK51" s="278"/>
      <c r="AL51" s="279"/>
      <c r="AM51" s="278"/>
      <c r="AN51" s="278"/>
      <c r="AO51" s="278"/>
      <c r="AP51" s="278"/>
      <c r="AQ51" s="278"/>
      <c r="AR51" s="278"/>
      <c r="AS51" s="278"/>
      <c r="AT51" s="278"/>
      <c r="AU51" s="278"/>
      <c r="AV51" s="278"/>
      <c r="AW51" s="278"/>
      <c r="AX51" s="279"/>
      <c r="AY51" s="278"/>
      <c r="AZ51" s="278"/>
      <c r="BA51" s="278"/>
      <c r="BB51" s="278"/>
      <c r="BC51" s="278"/>
      <c r="BD51" s="278"/>
      <c r="BE51" s="278"/>
      <c r="BF51" s="278"/>
      <c r="BG51" s="278"/>
      <c r="BH51" s="278"/>
      <c r="BI51" s="278"/>
      <c r="BJ51" s="279"/>
      <c r="BK51" s="583">
        <f t="shared" si="28"/>
        <v>63</v>
      </c>
      <c r="BL51" s="584">
        <f t="shared" si="29"/>
        <v>63</v>
      </c>
      <c r="BM51" s="290">
        <v>0.1</v>
      </c>
      <c r="BN51" s="290">
        <v>0.5</v>
      </c>
      <c r="BO51" s="290">
        <v>120</v>
      </c>
      <c r="BP51" s="525">
        <v>656</v>
      </c>
      <c r="BQ51" s="581">
        <f t="shared" si="30"/>
        <v>756.00000000000011</v>
      </c>
      <c r="BR51" s="582">
        <f t="shared" si="31"/>
        <v>20664</v>
      </c>
      <c r="BS51" s="155"/>
    </row>
    <row r="52" spans="1:71" ht="13" x14ac:dyDescent="0.3">
      <c r="A52" s="296" t="s">
        <v>521</v>
      </c>
      <c r="B52" s="154"/>
      <c r="C52" s="277"/>
      <c r="D52" s="278"/>
      <c r="E52" s="278"/>
      <c r="F52" s="278"/>
      <c r="G52" s="278"/>
      <c r="H52" s="278"/>
      <c r="I52" s="278">
        <v>1</v>
      </c>
      <c r="J52" s="278">
        <v>1</v>
      </c>
      <c r="K52" s="278">
        <v>1</v>
      </c>
      <c r="L52" s="278"/>
      <c r="M52" s="278"/>
      <c r="N52" s="279"/>
      <c r="O52" s="278"/>
      <c r="P52" s="278"/>
      <c r="Q52" s="278"/>
      <c r="R52" s="278"/>
      <c r="S52" s="278"/>
      <c r="T52" s="278"/>
      <c r="U52" s="278"/>
      <c r="V52" s="278"/>
      <c r="W52" s="278"/>
      <c r="X52" s="278"/>
      <c r="Y52" s="278"/>
      <c r="Z52" s="279"/>
      <c r="AA52" s="278"/>
      <c r="AB52" s="278"/>
      <c r="AC52" s="278"/>
      <c r="AD52" s="278"/>
      <c r="AE52" s="278"/>
      <c r="AF52" s="278"/>
      <c r="AG52" s="278"/>
      <c r="AH52" s="278"/>
      <c r="AI52" s="278"/>
      <c r="AJ52" s="278"/>
      <c r="AK52" s="278"/>
      <c r="AL52" s="279"/>
      <c r="AM52" s="278"/>
      <c r="AN52" s="278"/>
      <c r="AO52" s="278"/>
      <c r="AP52" s="278"/>
      <c r="AQ52" s="278"/>
      <c r="AR52" s="278"/>
      <c r="AS52" s="278"/>
      <c r="AT52" s="278"/>
      <c r="AU52" s="278"/>
      <c r="AV52" s="278"/>
      <c r="AW52" s="278"/>
      <c r="AX52" s="279"/>
      <c r="AY52" s="278"/>
      <c r="AZ52" s="278"/>
      <c r="BA52" s="278"/>
      <c r="BB52" s="278"/>
      <c r="BC52" s="278"/>
      <c r="BD52" s="278"/>
      <c r="BE52" s="278"/>
      <c r="BF52" s="278"/>
      <c r="BG52" s="278"/>
      <c r="BH52" s="278"/>
      <c r="BI52" s="278"/>
      <c r="BJ52" s="279"/>
      <c r="BK52" s="583">
        <f t="shared" si="28"/>
        <v>63</v>
      </c>
      <c r="BL52" s="584">
        <f t="shared" si="29"/>
        <v>63</v>
      </c>
      <c r="BM52" s="290">
        <f>1/10</f>
        <v>0.1</v>
      </c>
      <c r="BN52" s="290">
        <v>0.7</v>
      </c>
      <c r="BO52" s="290">
        <v>120</v>
      </c>
      <c r="BP52" s="525">
        <v>744</v>
      </c>
      <c r="BQ52" s="581">
        <f t="shared" si="30"/>
        <v>756.00000000000011</v>
      </c>
      <c r="BR52" s="582">
        <f t="shared" si="31"/>
        <v>32810.399999999994</v>
      </c>
      <c r="BS52" s="155"/>
    </row>
    <row r="53" spans="1:71" ht="13" x14ac:dyDescent="0.3">
      <c r="A53" s="296" t="s">
        <v>522</v>
      </c>
      <c r="B53" s="154"/>
      <c r="C53" s="277"/>
      <c r="D53" s="278"/>
      <c r="E53" s="278"/>
      <c r="F53" s="278"/>
      <c r="G53" s="278"/>
      <c r="H53" s="278"/>
      <c r="I53" s="278"/>
      <c r="J53" s="278"/>
      <c r="K53" s="278">
        <v>1</v>
      </c>
      <c r="L53" s="278">
        <v>1</v>
      </c>
      <c r="M53" s="278"/>
      <c r="N53" s="279"/>
      <c r="O53" s="278"/>
      <c r="P53" s="278"/>
      <c r="Q53" s="278"/>
      <c r="R53" s="278"/>
      <c r="S53" s="278"/>
      <c r="T53" s="278"/>
      <c r="U53" s="278"/>
      <c r="V53" s="278"/>
      <c r="W53" s="278"/>
      <c r="X53" s="278"/>
      <c r="Y53" s="278"/>
      <c r="Z53" s="279"/>
      <c r="AA53" s="278"/>
      <c r="AB53" s="278"/>
      <c r="AC53" s="278"/>
      <c r="AD53" s="278"/>
      <c r="AE53" s="278"/>
      <c r="AF53" s="278"/>
      <c r="AG53" s="278"/>
      <c r="AH53" s="278"/>
      <c r="AI53" s="278"/>
      <c r="AJ53" s="278"/>
      <c r="AK53" s="278"/>
      <c r="AL53" s="279"/>
      <c r="AM53" s="278"/>
      <c r="AN53" s="278"/>
      <c r="AO53" s="278"/>
      <c r="AP53" s="278"/>
      <c r="AQ53" s="278"/>
      <c r="AR53" s="278"/>
      <c r="AS53" s="278"/>
      <c r="AT53" s="278"/>
      <c r="AU53" s="278"/>
      <c r="AV53" s="278"/>
      <c r="AW53" s="278"/>
      <c r="AX53" s="279"/>
      <c r="AY53" s="278"/>
      <c r="AZ53" s="278"/>
      <c r="BA53" s="278"/>
      <c r="BB53" s="278"/>
      <c r="BC53" s="278"/>
      <c r="BD53" s="278"/>
      <c r="BE53" s="278"/>
      <c r="BF53" s="278"/>
      <c r="BG53" s="278"/>
      <c r="BH53" s="278"/>
      <c r="BI53" s="278"/>
      <c r="BJ53" s="279"/>
      <c r="BK53" s="583">
        <f t="shared" si="28"/>
        <v>42</v>
      </c>
      <c r="BL53" s="584">
        <f t="shared" si="29"/>
        <v>42</v>
      </c>
      <c r="BM53" s="290">
        <v>0.15</v>
      </c>
      <c r="BN53" s="290">
        <v>0.5</v>
      </c>
      <c r="BO53" s="290">
        <v>120</v>
      </c>
      <c r="BP53" s="525">
        <v>771</v>
      </c>
      <c r="BQ53" s="581">
        <f t="shared" si="30"/>
        <v>756</v>
      </c>
      <c r="BR53" s="582">
        <f t="shared" si="31"/>
        <v>16191</v>
      </c>
      <c r="BS53" s="155"/>
    </row>
    <row r="54" spans="1:71" ht="13" x14ac:dyDescent="0.3">
      <c r="A54" s="296" t="s">
        <v>523</v>
      </c>
      <c r="B54" s="154"/>
      <c r="C54" s="277"/>
      <c r="D54" s="278"/>
      <c r="E54" s="278"/>
      <c r="F54" s="278"/>
      <c r="G54" s="278"/>
      <c r="H54" s="278"/>
      <c r="I54" s="278"/>
      <c r="J54" s="278">
        <v>1</v>
      </c>
      <c r="K54" s="278">
        <v>1</v>
      </c>
      <c r="L54" s="278">
        <v>1</v>
      </c>
      <c r="M54" s="278"/>
      <c r="N54" s="279"/>
      <c r="O54" s="278"/>
      <c r="P54" s="278"/>
      <c r="Q54" s="278"/>
      <c r="R54" s="278"/>
      <c r="S54" s="278"/>
      <c r="T54" s="278"/>
      <c r="U54" s="278"/>
      <c r="V54" s="278"/>
      <c r="W54" s="278"/>
      <c r="X54" s="278"/>
      <c r="Y54" s="278"/>
      <c r="Z54" s="279"/>
      <c r="AA54" s="278"/>
      <c r="AB54" s="278"/>
      <c r="AC54" s="278"/>
      <c r="AD54" s="278"/>
      <c r="AE54" s="278"/>
      <c r="AF54" s="278"/>
      <c r="AG54" s="278"/>
      <c r="AH54" s="278"/>
      <c r="AI54" s="278"/>
      <c r="AJ54" s="278"/>
      <c r="AK54" s="278"/>
      <c r="AL54" s="279"/>
      <c r="AM54" s="278"/>
      <c r="AN54" s="278"/>
      <c r="AO54" s="278"/>
      <c r="AP54" s="278"/>
      <c r="AQ54" s="278"/>
      <c r="AR54" s="278"/>
      <c r="AS54" s="278"/>
      <c r="AT54" s="278"/>
      <c r="AU54" s="278"/>
      <c r="AV54" s="278"/>
      <c r="AW54" s="278"/>
      <c r="AX54" s="279"/>
      <c r="AY54" s="278"/>
      <c r="AZ54" s="278"/>
      <c r="BA54" s="278"/>
      <c r="BB54" s="278"/>
      <c r="BC54" s="278"/>
      <c r="BD54" s="278"/>
      <c r="BE54" s="278"/>
      <c r="BF54" s="278"/>
      <c r="BG54" s="278"/>
      <c r="BH54" s="278"/>
      <c r="BI54" s="278"/>
      <c r="BJ54" s="279"/>
      <c r="BK54" s="583">
        <f t="shared" si="28"/>
        <v>63</v>
      </c>
      <c r="BL54" s="584">
        <f t="shared" si="29"/>
        <v>63</v>
      </c>
      <c r="BM54" s="290">
        <v>0.1</v>
      </c>
      <c r="BN54" s="290">
        <v>0.3</v>
      </c>
      <c r="BO54" s="290">
        <v>120</v>
      </c>
      <c r="BP54" s="525">
        <v>753</v>
      </c>
      <c r="BQ54" s="581">
        <f t="shared" si="2"/>
        <v>756.00000000000011</v>
      </c>
      <c r="BR54" s="582">
        <f t="shared" si="3"/>
        <v>14231.699999999999</v>
      </c>
      <c r="BS54" s="155"/>
    </row>
    <row r="55" spans="1:71" ht="13" x14ac:dyDescent="0.3">
      <c r="A55" s="296" t="s">
        <v>524</v>
      </c>
      <c r="B55" s="154"/>
      <c r="C55" s="277"/>
      <c r="D55" s="278"/>
      <c r="E55" s="278"/>
      <c r="F55" s="278"/>
      <c r="G55" s="278"/>
      <c r="H55" s="278"/>
      <c r="I55" s="278"/>
      <c r="J55" s="278"/>
      <c r="K55" s="278"/>
      <c r="L55" s="278">
        <v>1</v>
      </c>
      <c r="M55" s="278">
        <v>1</v>
      </c>
      <c r="N55" s="279"/>
      <c r="O55" s="278"/>
      <c r="P55" s="278"/>
      <c r="Q55" s="278"/>
      <c r="R55" s="278"/>
      <c r="S55" s="278"/>
      <c r="T55" s="278"/>
      <c r="U55" s="278"/>
      <c r="V55" s="278"/>
      <c r="W55" s="278"/>
      <c r="X55" s="278"/>
      <c r="Y55" s="278"/>
      <c r="Z55" s="279"/>
      <c r="AA55" s="278"/>
      <c r="AB55" s="278"/>
      <c r="AC55" s="278"/>
      <c r="AD55" s="278"/>
      <c r="AE55" s="278"/>
      <c r="AF55" s="278"/>
      <c r="AG55" s="278"/>
      <c r="AH55" s="278"/>
      <c r="AI55" s="278"/>
      <c r="AJ55" s="278"/>
      <c r="AK55" s="278"/>
      <c r="AL55" s="279"/>
      <c r="AM55" s="278"/>
      <c r="AN55" s="278"/>
      <c r="AO55" s="278"/>
      <c r="AP55" s="278"/>
      <c r="AQ55" s="278"/>
      <c r="AR55" s="278"/>
      <c r="AS55" s="278"/>
      <c r="AT55" s="278"/>
      <c r="AU55" s="278"/>
      <c r="AV55" s="278"/>
      <c r="AW55" s="278"/>
      <c r="AX55" s="279"/>
      <c r="AY55" s="278"/>
      <c r="AZ55" s="278"/>
      <c r="BA55" s="278"/>
      <c r="BB55" s="278"/>
      <c r="BC55" s="278"/>
      <c r="BD55" s="278"/>
      <c r="BE55" s="278"/>
      <c r="BF55" s="278"/>
      <c r="BG55" s="278"/>
      <c r="BH55" s="278"/>
      <c r="BI55" s="278"/>
      <c r="BJ55" s="279"/>
      <c r="BK55" s="583">
        <f t="shared" si="28"/>
        <v>42</v>
      </c>
      <c r="BL55" s="584">
        <f t="shared" si="29"/>
        <v>42</v>
      </c>
      <c r="BM55" s="290">
        <v>0.1</v>
      </c>
      <c r="BN55" s="290">
        <v>0.5</v>
      </c>
      <c r="BO55" s="290">
        <v>120</v>
      </c>
      <c r="BP55" s="525">
        <v>645</v>
      </c>
      <c r="BQ55" s="581">
        <f t="shared" si="2"/>
        <v>504</v>
      </c>
      <c r="BR55" s="582">
        <f t="shared" si="3"/>
        <v>13545</v>
      </c>
      <c r="BS55" s="155"/>
    </row>
    <row r="56" spans="1:71" ht="13" x14ac:dyDescent="0.3">
      <c r="A56" s="296" t="s">
        <v>525</v>
      </c>
      <c r="B56" s="154"/>
      <c r="C56" s="277"/>
      <c r="D56" s="278"/>
      <c r="E56" s="278"/>
      <c r="F56" s="278"/>
      <c r="G56" s="278"/>
      <c r="H56" s="278"/>
      <c r="I56" s="278"/>
      <c r="J56" s="278"/>
      <c r="K56" s="278"/>
      <c r="L56" s="278"/>
      <c r="M56" s="278">
        <v>1</v>
      </c>
      <c r="N56" s="279">
        <v>1</v>
      </c>
      <c r="O56" s="278"/>
      <c r="P56" s="278"/>
      <c r="Q56" s="278"/>
      <c r="R56" s="278"/>
      <c r="S56" s="278"/>
      <c r="T56" s="278"/>
      <c r="U56" s="278"/>
      <c r="V56" s="278"/>
      <c r="W56" s="278"/>
      <c r="X56" s="278"/>
      <c r="Y56" s="278"/>
      <c r="Z56" s="279"/>
      <c r="AA56" s="278"/>
      <c r="AB56" s="278"/>
      <c r="AC56" s="278"/>
      <c r="AD56" s="278"/>
      <c r="AE56" s="278"/>
      <c r="AF56" s="278"/>
      <c r="AG56" s="278"/>
      <c r="AH56" s="278"/>
      <c r="AI56" s="278"/>
      <c r="AJ56" s="278"/>
      <c r="AK56" s="278"/>
      <c r="AL56" s="279"/>
      <c r="AM56" s="278"/>
      <c r="AN56" s="278"/>
      <c r="AO56" s="278"/>
      <c r="AP56" s="278"/>
      <c r="AQ56" s="278"/>
      <c r="AR56" s="278"/>
      <c r="AS56" s="278"/>
      <c r="AT56" s="278"/>
      <c r="AU56" s="278"/>
      <c r="AV56" s="278"/>
      <c r="AW56" s="278"/>
      <c r="AX56" s="279"/>
      <c r="AY56" s="278"/>
      <c r="AZ56" s="278"/>
      <c r="BA56" s="278"/>
      <c r="BB56" s="278"/>
      <c r="BC56" s="278"/>
      <c r="BD56" s="278"/>
      <c r="BE56" s="278"/>
      <c r="BF56" s="278"/>
      <c r="BG56" s="278"/>
      <c r="BH56" s="278"/>
      <c r="BI56" s="278"/>
      <c r="BJ56" s="279"/>
      <c r="BK56" s="583">
        <f t="shared" si="28"/>
        <v>42</v>
      </c>
      <c r="BL56" s="584">
        <f t="shared" si="29"/>
        <v>42</v>
      </c>
      <c r="BM56" s="290">
        <v>0.1</v>
      </c>
      <c r="BN56" s="290">
        <v>0.5</v>
      </c>
      <c r="BO56" s="290">
        <v>120</v>
      </c>
      <c r="BP56" s="525">
        <v>752</v>
      </c>
      <c r="BQ56" s="581">
        <f t="shared" si="2"/>
        <v>504</v>
      </c>
      <c r="BR56" s="582">
        <f t="shared" si="3"/>
        <v>15792</v>
      </c>
      <c r="BS56" s="653">
        <f>SUM(BQ49:BR56)</f>
        <v>184818.9</v>
      </c>
    </row>
    <row r="57" spans="1:71" hidden="1" x14ac:dyDescent="0.3">
      <c r="A57" s="645" t="s">
        <v>526</v>
      </c>
      <c r="B57" s="154"/>
      <c r="C57" s="277"/>
      <c r="D57" s="278"/>
      <c r="E57" s="278"/>
      <c r="F57" s="278"/>
      <c r="G57" s="278"/>
      <c r="H57" s="278"/>
      <c r="I57" s="278"/>
      <c r="J57" s="278"/>
      <c r="K57" s="278"/>
      <c r="L57" s="278"/>
      <c r="M57" s="278"/>
      <c r="N57" s="279"/>
      <c r="O57" s="278">
        <v>1</v>
      </c>
      <c r="P57" s="278">
        <v>1</v>
      </c>
      <c r="Q57" s="278">
        <v>1</v>
      </c>
      <c r="R57" s="278">
        <v>1</v>
      </c>
      <c r="S57" s="278">
        <v>1</v>
      </c>
      <c r="T57" s="278">
        <v>1</v>
      </c>
      <c r="U57" s="278">
        <v>1</v>
      </c>
      <c r="V57" s="278">
        <v>1</v>
      </c>
      <c r="W57" s="278">
        <v>1</v>
      </c>
      <c r="X57" s="278">
        <v>1</v>
      </c>
      <c r="Y57" s="278">
        <v>1</v>
      </c>
      <c r="Z57" s="279">
        <v>1</v>
      </c>
      <c r="AA57" s="278">
        <v>1</v>
      </c>
      <c r="AB57" s="278">
        <v>1</v>
      </c>
      <c r="AC57" s="278">
        <v>1</v>
      </c>
      <c r="AD57" s="278">
        <v>1</v>
      </c>
      <c r="AE57" s="278">
        <v>1</v>
      </c>
      <c r="AF57" s="278">
        <v>1</v>
      </c>
      <c r="AG57" s="278">
        <v>1</v>
      </c>
      <c r="AH57" s="278">
        <v>1</v>
      </c>
      <c r="AI57" s="278">
        <v>1</v>
      </c>
      <c r="AJ57" s="278">
        <v>1</v>
      </c>
      <c r="AK57" s="278">
        <v>1</v>
      </c>
      <c r="AL57" s="279">
        <v>1</v>
      </c>
      <c r="AM57" s="278">
        <v>1</v>
      </c>
      <c r="AN57" s="278">
        <v>1</v>
      </c>
      <c r="AO57" s="278">
        <v>1</v>
      </c>
      <c r="AP57" s="278">
        <v>1</v>
      </c>
      <c r="AQ57" s="278">
        <v>1</v>
      </c>
      <c r="AR57" s="278">
        <v>1</v>
      </c>
      <c r="AS57" s="278">
        <v>1</v>
      </c>
      <c r="AT57" s="278">
        <v>1</v>
      </c>
      <c r="AU57" s="278">
        <v>1</v>
      </c>
      <c r="AV57" s="278">
        <v>1</v>
      </c>
      <c r="AW57" s="278">
        <v>1</v>
      </c>
      <c r="AX57" s="279">
        <v>1</v>
      </c>
      <c r="AY57" s="278">
        <v>1</v>
      </c>
      <c r="AZ57" s="278">
        <v>1</v>
      </c>
      <c r="BA57" s="278">
        <v>1</v>
      </c>
      <c r="BB57" s="278">
        <v>1</v>
      </c>
      <c r="BC57" s="278">
        <v>1</v>
      </c>
      <c r="BD57" s="278">
        <v>1</v>
      </c>
      <c r="BE57" s="278">
        <v>1</v>
      </c>
      <c r="BF57" s="278">
        <v>1</v>
      </c>
      <c r="BG57" s="278">
        <v>1</v>
      </c>
      <c r="BH57" s="278">
        <v>1</v>
      </c>
      <c r="BI57" s="278">
        <v>1</v>
      </c>
      <c r="BJ57" s="279">
        <v>1</v>
      </c>
      <c r="BK57" s="583">
        <f>COUNTA(C57:BJ57)*10.5</f>
        <v>504</v>
      </c>
      <c r="BL57" s="584">
        <f>COUNTA(C57:BJ57)*10.5</f>
        <v>504</v>
      </c>
      <c r="BM57" s="290">
        <v>0.03</v>
      </c>
      <c r="BN57" s="290">
        <v>0.31</v>
      </c>
      <c r="BO57" s="290">
        <v>120</v>
      </c>
      <c r="BP57" s="525">
        <v>711</v>
      </c>
      <c r="BQ57" s="581">
        <f>9072/2</f>
        <v>4536</v>
      </c>
      <c r="BR57" s="582">
        <f>445133/2</f>
        <v>222566.5</v>
      </c>
      <c r="BS57" s="653">
        <f>BQ57+BR57</f>
        <v>227102.5</v>
      </c>
    </row>
    <row r="58" spans="1:71" x14ac:dyDescent="0.3">
      <c r="A58" s="645" t="s">
        <v>475</v>
      </c>
      <c r="B58" s="154"/>
      <c r="C58" s="277"/>
      <c r="D58" s="278"/>
      <c r="E58" s="278"/>
      <c r="F58" s="278"/>
      <c r="G58" s="278"/>
      <c r="H58" s="278"/>
      <c r="I58" s="278"/>
      <c r="J58" s="278"/>
      <c r="K58" s="278"/>
      <c r="L58" s="278">
        <v>1</v>
      </c>
      <c r="M58" s="278">
        <v>1</v>
      </c>
      <c r="N58" s="279">
        <v>1</v>
      </c>
      <c r="O58" s="278"/>
      <c r="P58" s="278"/>
      <c r="Q58" s="278"/>
      <c r="R58" s="278"/>
      <c r="S58" s="278"/>
      <c r="T58" s="278"/>
      <c r="U58" s="278"/>
      <c r="V58" s="278"/>
      <c r="W58" s="278"/>
      <c r="X58" s="278"/>
      <c r="Y58" s="278"/>
      <c r="Z58" s="279"/>
      <c r="AA58" s="278"/>
      <c r="AB58" s="278"/>
      <c r="AC58" s="278"/>
      <c r="AD58" s="278"/>
      <c r="AE58" s="278"/>
      <c r="AF58" s="278"/>
      <c r="AG58" s="278"/>
      <c r="AH58" s="278"/>
      <c r="AI58" s="278"/>
      <c r="AJ58" s="278"/>
      <c r="AK58" s="278"/>
      <c r="AL58" s="279"/>
      <c r="AM58" s="278"/>
      <c r="AN58" s="278"/>
      <c r="AO58" s="278"/>
      <c r="AP58" s="278"/>
      <c r="AQ58" s="278"/>
      <c r="AR58" s="278"/>
      <c r="AS58" s="278"/>
      <c r="AT58" s="278"/>
      <c r="AU58" s="278"/>
      <c r="AV58" s="278"/>
      <c r="AW58" s="278"/>
      <c r="AX58" s="279"/>
      <c r="AY58" s="278"/>
      <c r="AZ58" s="278"/>
      <c r="BA58" s="278"/>
      <c r="BB58" s="278"/>
      <c r="BC58" s="278"/>
      <c r="BD58" s="278"/>
      <c r="BE58" s="278"/>
      <c r="BF58" s="278"/>
      <c r="BG58" s="278"/>
      <c r="BH58" s="278"/>
      <c r="BI58" s="278"/>
      <c r="BJ58" s="279"/>
      <c r="BK58" s="583">
        <f>COUNTA(C58:AX58)*21</f>
        <v>63</v>
      </c>
      <c r="BL58" s="584">
        <f>COUNTA(C58:AX58)*21</f>
        <v>63</v>
      </c>
      <c r="BM58" s="290">
        <v>0</v>
      </c>
      <c r="BN58" s="290">
        <v>1</v>
      </c>
      <c r="BO58" s="290">
        <v>120</v>
      </c>
      <c r="BP58" s="525">
        <v>710</v>
      </c>
      <c r="BQ58" s="581">
        <f t="shared" ref="BQ58" si="32">BK58*BM58*BO58</f>
        <v>0</v>
      </c>
      <c r="BR58" s="582">
        <f t="shared" ref="BR58" si="33">BL58*BN58*BP58</f>
        <v>44730</v>
      </c>
      <c r="BS58" s="155"/>
    </row>
    <row r="59" spans="1:71" x14ac:dyDescent="0.3">
      <c r="A59" s="645" t="s">
        <v>321</v>
      </c>
      <c r="B59" s="154"/>
      <c r="C59" s="277">
        <v>1</v>
      </c>
      <c r="D59" s="278">
        <v>1</v>
      </c>
      <c r="E59" s="278">
        <v>1</v>
      </c>
      <c r="F59" s="278">
        <v>1</v>
      </c>
      <c r="G59" s="278">
        <v>1</v>
      </c>
      <c r="H59" s="278">
        <v>1</v>
      </c>
      <c r="I59" s="278">
        <v>1</v>
      </c>
      <c r="J59" s="278">
        <v>1</v>
      </c>
      <c r="K59" s="278">
        <v>1</v>
      </c>
      <c r="L59" s="278">
        <v>1</v>
      </c>
      <c r="M59" s="278">
        <v>1</v>
      </c>
      <c r="N59" s="279">
        <v>1</v>
      </c>
      <c r="O59" s="278"/>
      <c r="P59" s="278"/>
      <c r="Q59" s="278"/>
      <c r="R59" s="278"/>
      <c r="S59" s="278"/>
      <c r="T59" s="278"/>
      <c r="U59" s="278"/>
      <c r="V59" s="278"/>
      <c r="W59" s="278"/>
      <c r="X59" s="278"/>
      <c r="Y59" s="278"/>
      <c r="Z59" s="279"/>
      <c r="AA59" s="278"/>
      <c r="AB59" s="278"/>
      <c r="AC59" s="278"/>
      <c r="AD59" s="278"/>
      <c r="AE59" s="278"/>
      <c r="AF59" s="278"/>
      <c r="AG59" s="278"/>
      <c r="AH59" s="278"/>
      <c r="AI59" s="278"/>
      <c r="AJ59" s="278"/>
      <c r="AK59" s="278"/>
      <c r="AL59" s="279"/>
      <c r="AM59" s="278"/>
      <c r="AN59" s="278"/>
      <c r="AO59" s="278"/>
      <c r="AP59" s="278"/>
      <c r="AQ59" s="278"/>
      <c r="AR59" s="278"/>
      <c r="AS59" s="278"/>
      <c r="AT59" s="278"/>
      <c r="AU59" s="278"/>
      <c r="AV59" s="278"/>
      <c r="AW59" s="278"/>
      <c r="AX59" s="279"/>
      <c r="AY59" s="278"/>
      <c r="AZ59" s="278"/>
      <c r="BA59" s="278"/>
      <c r="BB59" s="278"/>
      <c r="BC59" s="278"/>
      <c r="BD59" s="278"/>
      <c r="BE59" s="278"/>
      <c r="BF59" s="278"/>
      <c r="BG59" s="278"/>
      <c r="BH59" s="278"/>
      <c r="BI59" s="278"/>
      <c r="BJ59" s="279"/>
      <c r="BK59" s="583">
        <f>COUNTA(C59:AX59)*21</f>
        <v>252</v>
      </c>
      <c r="BL59" s="584">
        <f>COUNTA(C59:AX59)*21</f>
        <v>252</v>
      </c>
      <c r="BM59" s="689" t="s">
        <v>182</v>
      </c>
      <c r="BN59" s="689" t="s">
        <v>182</v>
      </c>
      <c r="BO59" s="689" t="s">
        <v>182</v>
      </c>
      <c r="BP59" s="689" t="s">
        <v>182</v>
      </c>
      <c r="BQ59" s="581">
        <f>'TCO TO BE- SW'!E130</f>
        <v>98695.229999999981</v>
      </c>
      <c r="BR59" s="582">
        <v>0</v>
      </c>
      <c r="BS59" s="155"/>
    </row>
    <row r="60" spans="1:71" ht="12.5" thickBot="1" x14ac:dyDescent="0.35">
      <c r="A60" s="645" t="s">
        <v>155</v>
      </c>
      <c r="B60" s="154"/>
      <c r="C60" s="277">
        <v>1</v>
      </c>
      <c r="D60" s="278">
        <v>1</v>
      </c>
      <c r="E60" s="278">
        <v>1</v>
      </c>
      <c r="F60" s="278">
        <v>1</v>
      </c>
      <c r="G60" s="278">
        <v>1</v>
      </c>
      <c r="H60" s="278">
        <v>1</v>
      </c>
      <c r="I60" s="278">
        <v>1</v>
      </c>
      <c r="J60" s="278">
        <v>1</v>
      </c>
      <c r="K60" s="278">
        <v>1</v>
      </c>
      <c r="L60" s="278">
        <v>1</v>
      </c>
      <c r="M60" s="278">
        <v>1</v>
      </c>
      <c r="N60" s="279">
        <v>1</v>
      </c>
      <c r="O60" s="278"/>
      <c r="P60" s="278"/>
      <c r="Q60" s="278"/>
      <c r="R60" s="278"/>
      <c r="S60" s="278"/>
      <c r="T60" s="278"/>
      <c r="U60" s="278"/>
      <c r="V60" s="278"/>
      <c r="W60" s="278"/>
      <c r="X60" s="278"/>
      <c r="Y60" s="278"/>
      <c r="Z60" s="646"/>
      <c r="AA60" s="278"/>
      <c r="AB60" s="278"/>
      <c r="AC60" s="278"/>
      <c r="AD60" s="278"/>
      <c r="AE60" s="278"/>
      <c r="AF60" s="278"/>
      <c r="AG60" s="278"/>
      <c r="AH60" s="278"/>
      <c r="AI60" s="278"/>
      <c r="AJ60" s="278"/>
      <c r="AK60" s="278"/>
      <c r="AL60" s="646"/>
      <c r="AM60" s="278"/>
      <c r="AN60" s="278"/>
      <c r="AO60" s="278"/>
      <c r="AP60" s="278"/>
      <c r="AQ60" s="278"/>
      <c r="AR60" s="278"/>
      <c r="AS60" s="278"/>
      <c r="AT60" s="278"/>
      <c r="AU60" s="278"/>
      <c r="AV60" s="278"/>
      <c r="AW60" s="278"/>
      <c r="AX60" s="646"/>
      <c r="AY60" s="278"/>
      <c r="AZ60" s="278"/>
      <c r="BA60" s="278"/>
      <c r="BB60" s="278"/>
      <c r="BC60" s="278"/>
      <c r="BD60" s="278"/>
      <c r="BE60" s="278"/>
      <c r="BF60" s="278"/>
      <c r="BG60" s="278"/>
      <c r="BH60" s="278"/>
      <c r="BI60" s="278"/>
      <c r="BJ60" s="646"/>
      <c r="BK60" s="583">
        <f>COUNTA(C60:AX60)*21</f>
        <v>252</v>
      </c>
      <c r="BL60" s="584">
        <f>COUNTA(C60:AX60)*21</f>
        <v>252</v>
      </c>
      <c r="BM60" s="689" t="s">
        <v>182</v>
      </c>
      <c r="BN60" s="689" t="s">
        <v>182</v>
      </c>
      <c r="BO60" s="689" t="s">
        <v>182</v>
      </c>
      <c r="BP60" s="689" t="s">
        <v>182</v>
      </c>
      <c r="BQ60" s="581">
        <f>'TCO TO BE- SW'!E140</f>
        <v>65796.820000000022</v>
      </c>
      <c r="BR60" s="582">
        <v>0</v>
      </c>
      <c r="BS60" s="155"/>
    </row>
    <row r="61" spans="1:71" ht="12.5" thickBot="1" x14ac:dyDescent="0.35">
      <c r="A61" s="297" t="s">
        <v>157</v>
      </c>
      <c r="B61" s="156"/>
      <c r="C61" s="289"/>
      <c r="D61" s="289"/>
      <c r="E61" s="289"/>
      <c r="F61" s="289"/>
      <c r="G61" s="289"/>
      <c r="H61" s="289"/>
      <c r="I61" s="289"/>
      <c r="J61" s="289"/>
      <c r="K61" s="289"/>
      <c r="L61" s="289"/>
      <c r="M61" s="289"/>
      <c r="N61" s="289"/>
      <c r="O61" s="289"/>
      <c r="P61" s="289"/>
      <c r="Q61" s="289"/>
      <c r="R61" s="289"/>
      <c r="S61" s="289"/>
      <c r="T61" s="289"/>
      <c r="U61" s="289"/>
      <c r="V61" s="289"/>
      <c r="W61" s="289"/>
      <c r="X61" s="289"/>
      <c r="Y61" s="289"/>
      <c r="Z61" s="289"/>
      <c r="AA61" s="289"/>
      <c r="AB61" s="289"/>
      <c r="AC61" s="289"/>
      <c r="AD61" s="289"/>
      <c r="AE61" s="289"/>
      <c r="AF61" s="289"/>
      <c r="AG61" s="289"/>
      <c r="AH61" s="289"/>
      <c r="AI61" s="289"/>
      <c r="AJ61" s="289"/>
      <c r="AK61" s="289"/>
      <c r="AL61" s="289"/>
      <c r="AM61" s="289"/>
      <c r="AN61" s="289"/>
      <c r="AO61" s="289"/>
      <c r="AP61" s="289"/>
      <c r="AQ61" s="289"/>
      <c r="AR61" s="289"/>
      <c r="AS61" s="289"/>
      <c r="AT61" s="289"/>
      <c r="AU61" s="289"/>
      <c r="AV61" s="289"/>
      <c r="AW61" s="289"/>
      <c r="AX61" s="289"/>
      <c r="AY61" s="289"/>
      <c r="AZ61" s="289"/>
      <c r="BA61" s="289"/>
      <c r="BB61" s="289"/>
      <c r="BC61" s="289"/>
      <c r="BD61" s="289"/>
      <c r="BE61" s="289"/>
      <c r="BF61" s="289"/>
      <c r="BG61" s="289"/>
      <c r="BH61" s="289"/>
      <c r="BI61" s="289"/>
      <c r="BJ61" s="289"/>
      <c r="BK61" s="276"/>
      <c r="BL61" s="276"/>
      <c r="BM61" s="276"/>
      <c r="BN61" s="276"/>
      <c r="BO61" s="276"/>
      <c r="BP61" s="276"/>
      <c r="BQ61" s="578">
        <f>SUM(BQ4:BQ60)</f>
        <v>215207.05</v>
      </c>
      <c r="BR61" s="579">
        <f>SUM(BR4:BR60)</f>
        <v>1285935.1000000001</v>
      </c>
      <c r="BS61" s="157"/>
    </row>
    <row r="62" spans="1:71" x14ac:dyDescent="0.3">
      <c r="BS62" s="158"/>
    </row>
    <row r="64" spans="1:71" ht="15" x14ac:dyDescent="0.3">
      <c r="BR64" s="159"/>
    </row>
  </sheetData>
  <conditionalFormatting sqref="C4:P19 C25:P27 C30:P35 AN30:AX35 AN25:AX27 AN4:AX19 AE30:AF35 AE25:AF27 AE4:AF19 C24:AX24 C39:AX60">
    <cfRule type="colorScale" priority="55">
      <colorScale>
        <cfvo type="num" val="0"/>
        <cfvo type="num" val="1"/>
        <color theme="0"/>
        <color theme="2" tint="-0.249977111117893"/>
      </colorScale>
    </cfRule>
  </conditionalFormatting>
  <conditionalFormatting sqref="C20:P20 AN20:AX20 AE20:AF20">
    <cfRule type="colorScale" priority="54">
      <colorScale>
        <cfvo type="num" val="0"/>
        <cfvo type="num" val="1"/>
        <color theme="0"/>
        <color theme="2" tint="-0.249977111117893"/>
      </colorScale>
    </cfRule>
  </conditionalFormatting>
  <conditionalFormatting sqref="C21:P23 AN21:AX23 AE21:AF23">
    <cfRule type="colorScale" priority="53">
      <colorScale>
        <cfvo type="num" val="0"/>
        <cfvo type="num" val="1"/>
        <color theme="0"/>
        <color theme="2" tint="-0.249977111117893"/>
      </colorScale>
    </cfRule>
  </conditionalFormatting>
  <conditionalFormatting sqref="C28:P29 AN28:AX29 AE28:AF29">
    <cfRule type="colorScale" priority="52">
      <colorScale>
        <cfvo type="num" val="0"/>
        <cfvo type="num" val="1"/>
        <color theme="0"/>
        <color theme="2" tint="-0.249977111117893"/>
      </colorScale>
    </cfRule>
  </conditionalFormatting>
  <conditionalFormatting sqref="C36:P38 AN36:AX38 AE36:AF38">
    <cfRule type="colorScale" priority="51">
      <colorScale>
        <cfvo type="num" val="0"/>
        <cfvo type="num" val="1"/>
        <color theme="0"/>
        <color theme="2" tint="-0.249977111117893"/>
      </colorScale>
    </cfRule>
  </conditionalFormatting>
  <conditionalFormatting sqref="AG30:AM35 AG25:AM27 AG4:AM19">
    <cfRule type="colorScale" priority="50">
      <colorScale>
        <cfvo type="num" val="0"/>
        <cfvo type="num" val="1"/>
        <color theme="0"/>
        <color theme="2" tint="-0.249977111117893"/>
      </colorScale>
    </cfRule>
  </conditionalFormatting>
  <conditionalFormatting sqref="AG20:AM20">
    <cfRule type="colorScale" priority="49">
      <colorScale>
        <cfvo type="num" val="0"/>
        <cfvo type="num" val="1"/>
        <color theme="0"/>
        <color theme="2" tint="-0.249977111117893"/>
      </colorScale>
    </cfRule>
  </conditionalFormatting>
  <conditionalFormatting sqref="AG21:AM23">
    <cfRule type="colorScale" priority="48">
      <colorScale>
        <cfvo type="num" val="0"/>
        <cfvo type="num" val="1"/>
        <color theme="0"/>
        <color theme="2" tint="-0.249977111117893"/>
      </colorScale>
    </cfRule>
  </conditionalFormatting>
  <conditionalFormatting sqref="AG28:AM29">
    <cfRule type="colorScale" priority="47">
      <colorScale>
        <cfvo type="num" val="0"/>
        <cfvo type="num" val="1"/>
        <color theme="0"/>
        <color theme="2" tint="-0.249977111117893"/>
      </colorScale>
    </cfRule>
  </conditionalFormatting>
  <conditionalFormatting sqref="AG36:AM38">
    <cfRule type="colorScale" priority="46">
      <colorScale>
        <cfvo type="num" val="0"/>
        <cfvo type="num" val="1"/>
        <color theme="0"/>
        <color theme="2" tint="-0.249977111117893"/>
      </colorScale>
    </cfRule>
  </conditionalFormatting>
  <conditionalFormatting sqref="Z30:AD35 Z25:AD27 Z4:AD19 Q30:R35 Q25:R27 Q4:R19">
    <cfRule type="colorScale" priority="45">
      <colorScale>
        <cfvo type="num" val="0"/>
        <cfvo type="num" val="1"/>
        <color theme="0"/>
        <color theme="2" tint="-0.249977111117893"/>
      </colorScale>
    </cfRule>
  </conditionalFormatting>
  <conditionalFormatting sqref="Z20:AD20 Q20:R20">
    <cfRule type="colorScale" priority="44">
      <colorScale>
        <cfvo type="num" val="0"/>
        <cfvo type="num" val="1"/>
        <color theme="0"/>
        <color theme="2" tint="-0.249977111117893"/>
      </colorScale>
    </cfRule>
  </conditionalFormatting>
  <conditionalFormatting sqref="Z21:AD23 Q21:R23">
    <cfRule type="colorScale" priority="43">
      <colorScale>
        <cfvo type="num" val="0"/>
        <cfvo type="num" val="1"/>
        <color theme="0"/>
        <color theme="2" tint="-0.249977111117893"/>
      </colorScale>
    </cfRule>
  </conditionalFormatting>
  <conditionalFormatting sqref="Z28:AD29 Q28:R29">
    <cfRule type="colorScale" priority="42">
      <colorScale>
        <cfvo type="num" val="0"/>
        <cfvo type="num" val="1"/>
        <color theme="0"/>
        <color theme="2" tint="-0.249977111117893"/>
      </colorScale>
    </cfRule>
  </conditionalFormatting>
  <conditionalFormatting sqref="Z36:AD38 Q36:R38">
    <cfRule type="colorScale" priority="41">
      <colorScale>
        <cfvo type="num" val="0"/>
        <cfvo type="num" val="1"/>
        <color theme="0"/>
        <color theme="2" tint="-0.249977111117893"/>
      </colorScale>
    </cfRule>
  </conditionalFormatting>
  <conditionalFormatting sqref="S30:Y35 S25:Y27 S4:Y19">
    <cfRule type="colorScale" priority="40">
      <colorScale>
        <cfvo type="num" val="0"/>
        <cfvo type="num" val="1"/>
        <color theme="0"/>
        <color theme="2" tint="-0.249977111117893"/>
      </colorScale>
    </cfRule>
  </conditionalFormatting>
  <conditionalFormatting sqref="S20:Y20">
    <cfRule type="colorScale" priority="39">
      <colorScale>
        <cfvo type="num" val="0"/>
        <cfvo type="num" val="1"/>
        <color theme="0"/>
        <color theme="2" tint="-0.249977111117893"/>
      </colorScale>
    </cfRule>
  </conditionalFormatting>
  <conditionalFormatting sqref="S21:Y23">
    <cfRule type="colorScale" priority="38">
      <colorScale>
        <cfvo type="num" val="0"/>
        <cfvo type="num" val="1"/>
        <color theme="0"/>
        <color theme="2" tint="-0.249977111117893"/>
      </colorScale>
    </cfRule>
  </conditionalFormatting>
  <conditionalFormatting sqref="S28:Y29">
    <cfRule type="colorScale" priority="37">
      <colorScale>
        <cfvo type="num" val="0"/>
        <cfvo type="num" val="1"/>
        <color theme="0"/>
        <color theme="2" tint="-0.249977111117893"/>
      </colorScale>
    </cfRule>
  </conditionalFormatting>
  <conditionalFormatting sqref="S36:Y38">
    <cfRule type="colorScale" priority="36">
      <colorScale>
        <cfvo type="num" val="0"/>
        <cfvo type="num" val="1"/>
        <color theme="0"/>
        <color theme="2" tint="-0.249977111117893"/>
      </colorScale>
    </cfRule>
  </conditionalFormatting>
  <conditionalFormatting sqref="AY4:AZ19 AY25:AZ27 AY30:AZ35 AY24:BJ24 AY39:BJ60">
    <cfRule type="colorScale" priority="35">
      <colorScale>
        <cfvo type="num" val="0"/>
        <cfvo type="num" val="1"/>
        <color theme="0"/>
        <color theme="2" tint="-0.249977111117893"/>
      </colorScale>
    </cfRule>
  </conditionalFormatting>
  <conditionalFormatting sqref="AY20:AZ20">
    <cfRule type="colorScale" priority="34">
      <colorScale>
        <cfvo type="num" val="0"/>
        <cfvo type="num" val="1"/>
        <color theme="0"/>
        <color theme="2" tint="-0.249977111117893"/>
      </colorScale>
    </cfRule>
  </conditionalFormatting>
  <conditionalFormatting sqref="AY21:AZ23">
    <cfRule type="colorScale" priority="33">
      <colorScale>
        <cfvo type="num" val="0"/>
        <cfvo type="num" val="1"/>
        <color theme="0"/>
        <color theme="2" tint="-0.249977111117893"/>
      </colorScale>
    </cfRule>
  </conditionalFormatting>
  <conditionalFormatting sqref="AY28:AZ29">
    <cfRule type="colorScale" priority="32">
      <colorScale>
        <cfvo type="num" val="0"/>
        <cfvo type="num" val="1"/>
        <color theme="0"/>
        <color theme="2" tint="-0.249977111117893"/>
      </colorScale>
    </cfRule>
  </conditionalFormatting>
  <conditionalFormatting sqref="AY36:AZ38">
    <cfRule type="colorScale" priority="31">
      <colorScale>
        <cfvo type="num" val="0"/>
        <cfvo type="num" val="1"/>
        <color theme="0"/>
        <color theme="2" tint="-0.249977111117893"/>
      </colorScale>
    </cfRule>
  </conditionalFormatting>
  <conditionalFormatting sqref="BJ30:BJ35 BJ25:BJ27 BJ4:BJ19 BA30:BB35 BA25:BB27 BA4:BB19">
    <cfRule type="colorScale" priority="25">
      <colorScale>
        <cfvo type="num" val="0"/>
        <cfvo type="num" val="1"/>
        <color theme="0"/>
        <color theme="2" tint="-0.249977111117893"/>
      </colorScale>
    </cfRule>
  </conditionalFormatting>
  <conditionalFormatting sqref="BA20:BB20 BJ20">
    <cfRule type="colorScale" priority="24">
      <colorScale>
        <cfvo type="num" val="0"/>
        <cfvo type="num" val="1"/>
        <color theme="0"/>
        <color theme="2" tint="-0.249977111117893"/>
      </colorScale>
    </cfRule>
  </conditionalFormatting>
  <conditionalFormatting sqref="BJ21:BJ23 BA21:BB23">
    <cfRule type="colorScale" priority="23">
      <colorScale>
        <cfvo type="num" val="0"/>
        <cfvo type="num" val="1"/>
        <color theme="0"/>
        <color theme="2" tint="-0.249977111117893"/>
      </colorScale>
    </cfRule>
  </conditionalFormatting>
  <conditionalFormatting sqref="BJ28:BJ29 BA28:BB29">
    <cfRule type="colorScale" priority="22">
      <colorScale>
        <cfvo type="num" val="0"/>
        <cfvo type="num" val="1"/>
        <color theme="0"/>
        <color theme="2" tint="-0.249977111117893"/>
      </colorScale>
    </cfRule>
  </conditionalFormatting>
  <conditionalFormatting sqref="BJ36:BJ38 BA36:BB38">
    <cfRule type="colorScale" priority="21">
      <colorScale>
        <cfvo type="num" val="0"/>
        <cfvo type="num" val="1"/>
        <color theme="0"/>
        <color theme="2" tint="-0.249977111117893"/>
      </colorScale>
    </cfRule>
  </conditionalFormatting>
  <conditionalFormatting sqref="BC30:BI35 BC25:BI27 BC4:BI19">
    <cfRule type="colorScale" priority="20">
      <colorScale>
        <cfvo type="num" val="0"/>
        <cfvo type="num" val="1"/>
        <color theme="0"/>
        <color theme="2" tint="-0.249977111117893"/>
      </colorScale>
    </cfRule>
  </conditionalFormatting>
  <conditionalFormatting sqref="BC20:BI20">
    <cfRule type="colorScale" priority="19">
      <colorScale>
        <cfvo type="num" val="0"/>
        <cfvo type="num" val="1"/>
        <color theme="0"/>
        <color theme="2" tint="-0.249977111117893"/>
      </colorScale>
    </cfRule>
  </conditionalFormatting>
  <conditionalFormatting sqref="BC21:BI23">
    <cfRule type="colorScale" priority="18">
      <colorScale>
        <cfvo type="num" val="0"/>
        <cfvo type="num" val="1"/>
        <color theme="0"/>
        <color theme="2" tint="-0.249977111117893"/>
      </colorScale>
    </cfRule>
  </conditionalFormatting>
  <conditionalFormatting sqref="BC28:BI29">
    <cfRule type="colorScale" priority="17">
      <colorScale>
        <cfvo type="num" val="0"/>
        <cfvo type="num" val="1"/>
        <color theme="0"/>
        <color theme="2" tint="-0.249977111117893"/>
      </colorScale>
    </cfRule>
  </conditionalFormatting>
  <conditionalFormatting sqref="BC36:BI38">
    <cfRule type="colorScale" priority="16">
      <colorScale>
        <cfvo type="num" val="0"/>
        <cfvo type="num" val="1"/>
        <color theme="0"/>
        <color theme="2" tint="-0.249977111117893"/>
      </colorScale>
    </cfRule>
  </conditionalFormatting>
  <pageMargins left="0.7" right="0.7" top="0.75" bottom="0.75" header="0.3" footer="0.3"/>
  <pageSetup paperSize="9" scale="38" orientation="portrait" r:id="rId1"/>
  <ignoredErrors>
    <ignoredError sqref="BM52 BK57:BL57 BQ57:BR57" formula="1"/>
  </ignoredError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CC"/>
  </sheetPr>
  <dimension ref="A1:F26"/>
  <sheetViews>
    <sheetView view="pageBreakPreview" zoomScaleNormal="100" zoomScaleSheetLayoutView="100" workbookViewId="0">
      <selection activeCell="F16" sqref="F16"/>
    </sheetView>
  </sheetViews>
  <sheetFormatPr defaultColWidth="8.81640625" defaultRowHeight="14.5" x14ac:dyDescent="0.35"/>
  <cols>
    <col min="1" max="1" width="51.453125" customWidth="1"/>
    <col min="2" max="2" width="13.453125" bestFit="1" customWidth="1"/>
    <col min="4" max="4" width="18.26953125" bestFit="1" customWidth="1"/>
    <col min="5" max="5" width="16" bestFit="1" customWidth="1"/>
    <col min="6" max="6" width="49.6328125" customWidth="1"/>
  </cols>
  <sheetData>
    <row r="1" spans="1:6" ht="15" thickBot="1" x14ac:dyDescent="0.4"/>
    <row r="2" spans="1:6" ht="15" thickBot="1" x14ac:dyDescent="0.4">
      <c r="A2" s="558" t="s">
        <v>331</v>
      </c>
      <c r="B2" s="558" t="s">
        <v>332</v>
      </c>
      <c r="C2" s="558" t="s">
        <v>333</v>
      </c>
      <c r="D2" s="562" t="s">
        <v>334</v>
      </c>
      <c r="E2" s="562" t="s">
        <v>335</v>
      </c>
      <c r="F2" s="558" t="s">
        <v>336</v>
      </c>
    </row>
    <row r="3" spans="1:6" x14ac:dyDescent="0.35">
      <c r="A3" s="556" t="s">
        <v>402</v>
      </c>
      <c r="B3" s="559" t="s">
        <v>337</v>
      </c>
      <c r="C3" s="559">
        <v>7</v>
      </c>
      <c r="D3" s="563">
        <v>7840</v>
      </c>
      <c r="E3" s="561">
        <f>C3*D3</f>
        <v>54880</v>
      </c>
      <c r="F3" s="557" t="s">
        <v>401</v>
      </c>
    </row>
    <row r="4" spans="1:6" x14ac:dyDescent="0.35">
      <c r="A4" s="647" t="s">
        <v>403</v>
      </c>
      <c r="B4" s="560" t="s">
        <v>407</v>
      </c>
      <c r="C4" s="560">
        <v>50</v>
      </c>
      <c r="D4" s="564">
        <v>1040.7</v>
      </c>
      <c r="E4" s="561">
        <f t="shared" ref="E4:E26" si="0">D4*C4</f>
        <v>52035</v>
      </c>
      <c r="F4" s="557" t="s">
        <v>401</v>
      </c>
    </row>
    <row r="5" spans="1:6" x14ac:dyDescent="0.35">
      <c r="A5" s="647" t="s">
        <v>461</v>
      </c>
      <c r="B5" s="560" t="s">
        <v>407</v>
      </c>
      <c r="C5" s="560">
        <v>50</v>
      </c>
      <c r="D5" s="564">
        <v>503.89</v>
      </c>
      <c r="E5" s="561">
        <f t="shared" si="0"/>
        <v>25194.5</v>
      </c>
      <c r="F5" s="557" t="s">
        <v>401</v>
      </c>
    </row>
    <row r="6" spans="1:6" x14ac:dyDescent="0.35">
      <c r="A6" s="647" t="s">
        <v>462</v>
      </c>
      <c r="B6" s="560" t="s">
        <v>407</v>
      </c>
      <c r="C6" s="560">
        <v>50</v>
      </c>
      <c r="D6" s="564">
        <v>252.44</v>
      </c>
      <c r="E6" s="561">
        <f t="shared" si="0"/>
        <v>12622</v>
      </c>
      <c r="F6" s="557" t="s">
        <v>401</v>
      </c>
    </row>
    <row r="7" spans="1:6" x14ac:dyDescent="0.35">
      <c r="A7" s="647" t="s">
        <v>463</v>
      </c>
      <c r="B7" s="560" t="s">
        <v>407</v>
      </c>
      <c r="C7" s="560">
        <v>50</v>
      </c>
      <c r="D7" s="564">
        <v>252.44</v>
      </c>
      <c r="E7" s="561">
        <f t="shared" si="0"/>
        <v>12622</v>
      </c>
      <c r="F7" s="557" t="s">
        <v>401</v>
      </c>
    </row>
    <row r="8" spans="1:6" x14ac:dyDescent="0.35">
      <c r="A8" s="647" t="s">
        <v>464</v>
      </c>
      <c r="B8" s="560" t="s">
        <v>407</v>
      </c>
      <c r="C8" s="560">
        <v>50</v>
      </c>
      <c r="D8" s="564">
        <v>328.27</v>
      </c>
      <c r="E8" s="561">
        <f t="shared" si="0"/>
        <v>16413.5</v>
      </c>
      <c r="F8" s="557" t="s">
        <v>401</v>
      </c>
    </row>
    <row r="9" spans="1:6" x14ac:dyDescent="0.35">
      <c r="A9" s="647" t="s">
        <v>465</v>
      </c>
      <c r="B9" s="560" t="s">
        <v>407</v>
      </c>
      <c r="C9" s="560">
        <v>50</v>
      </c>
      <c r="D9" s="564">
        <v>252.44</v>
      </c>
      <c r="E9" s="561">
        <f t="shared" si="0"/>
        <v>12622</v>
      </c>
      <c r="F9" s="557" t="s">
        <v>401</v>
      </c>
    </row>
    <row r="10" spans="1:6" x14ac:dyDescent="0.35">
      <c r="A10" s="647" t="s">
        <v>466</v>
      </c>
      <c r="B10" s="560" t="s">
        <v>407</v>
      </c>
      <c r="C10" s="560">
        <v>50</v>
      </c>
      <c r="D10" s="564">
        <v>252.44</v>
      </c>
      <c r="E10" s="561">
        <f t="shared" si="0"/>
        <v>12622</v>
      </c>
      <c r="F10" s="557" t="s">
        <v>401</v>
      </c>
    </row>
    <row r="11" spans="1:6" x14ac:dyDescent="0.35">
      <c r="A11" s="647" t="s">
        <v>467</v>
      </c>
      <c r="B11" s="560" t="s">
        <v>407</v>
      </c>
      <c r="C11" s="560">
        <v>50</v>
      </c>
      <c r="D11" s="564">
        <v>164.64</v>
      </c>
      <c r="E11" s="561">
        <f t="shared" si="0"/>
        <v>8232</v>
      </c>
      <c r="F11" s="557" t="s">
        <v>401</v>
      </c>
    </row>
    <row r="12" spans="1:6" x14ac:dyDescent="0.35">
      <c r="A12" s="647" t="s">
        <v>468</v>
      </c>
      <c r="B12" s="560" t="s">
        <v>407</v>
      </c>
      <c r="C12" s="560">
        <v>50</v>
      </c>
      <c r="D12" s="564">
        <v>109.79</v>
      </c>
      <c r="E12" s="561">
        <f t="shared" si="0"/>
        <v>5489.5</v>
      </c>
      <c r="F12" s="557" t="s">
        <v>401</v>
      </c>
    </row>
    <row r="13" spans="1:6" ht="15.5" customHeight="1" x14ac:dyDescent="0.35">
      <c r="A13" s="647" t="s">
        <v>472</v>
      </c>
      <c r="B13" s="560" t="s">
        <v>407</v>
      </c>
      <c r="C13" s="560">
        <v>50</v>
      </c>
      <c r="D13" s="564">
        <v>263.42</v>
      </c>
      <c r="E13" s="561">
        <f t="shared" si="0"/>
        <v>13171</v>
      </c>
      <c r="F13" s="557" t="s">
        <v>401</v>
      </c>
    </row>
    <row r="14" spans="1:6" x14ac:dyDescent="0.35">
      <c r="A14" s="647" t="s">
        <v>469</v>
      </c>
      <c r="B14" s="560" t="s">
        <v>407</v>
      </c>
      <c r="C14" s="560">
        <v>50</v>
      </c>
      <c r="D14" s="564">
        <v>985.82</v>
      </c>
      <c r="E14" s="561">
        <f t="shared" si="0"/>
        <v>49291</v>
      </c>
      <c r="F14" s="557" t="s">
        <v>401</v>
      </c>
    </row>
    <row r="15" spans="1:6" x14ac:dyDescent="0.35">
      <c r="A15" s="647" t="s">
        <v>470</v>
      </c>
      <c r="B15" s="560" t="s">
        <v>408</v>
      </c>
      <c r="C15" s="560">
        <v>1</v>
      </c>
      <c r="D15" s="564">
        <v>18536.399999999998</v>
      </c>
      <c r="E15" s="561">
        <f t="shared" si="0"/>
        <v>18536.399999999998</v>
      </c>
      <c r="F15" s="557" t="s">
        <v>401</v>
      </c>
    </row>
    <row r="16" spans="1:6" x14ac:dyDescent="0.35">
      <c r="A16" s="647" t="s">
        <v>471</v>
      </c>
      <c r="B16" s="560" t="s">
        <v>408</v>
      </c>
      <c r="C16" s="560">
        <v>1</v>
      </c>
      <c r="D16" s="564">
        <v>63375.8</v>
      </c>
      <c r="E16" s="561">
        <f t="shared" si="0"/>
        <v>63375.8</v>
      </c>
      <c r="F16" s="557" t="s">
        <v>401</v>
      </c>
    </row>
    <row r="17" spans="1:6" x14ac:dyDescent="0.35">
      <c r="A17" s="647" t="s">
        <v>404</v>
      </c>
      <c r="B17" s="560" t="s">
        <v>407</v>
      </c>
      <c r="C17" s="560">
        <v>50</v>
      </c>
      <c r="D17" s="564">
        <v>3747.92</v>
      </c>
      <c r="E17" s="561">
        <f t="shared" si="0"/>
        <v>187396</v>
      </c>
      <c r="F17" s="557" t="s">
        <v>401</v>
      </c>
    </row>
    <row r="18" spans="1:6" x14ac:dyDescent="0.35">
      <c r="A18" s="647" t="s">
        <v>405</v>
      </c>
      <c r="B18" s="560" t="s">
        <v>408</v>
      </c>
      <c r="C18" s="560">
        <v>14</v>
      </c>
      <c r="D18" s="564">
        <v>1092.5</v>
      </c>
      <c r="E18" s="561">
        <f t="shared" si="0"/>
        <v>15295</v>
      </c>
      <c r="F18" s="557" t="s">
        <v>401</v>
      </c>
    </row>
    <row r="19" spans="1:6" x14ac:dyDescent="0.35">
      <c r="A19" s="647" t="s">
        <v>406</v>
      </c>
      <c r="B19" s="560" t="s">
        <v>408</v>
      </c>
      <c r="C19" s="560">
        <v>14</v>
      </c>
      <c r="D19" s="564">
        <v>464.54999999999995</v>
      </c>
      <c r="E19" s="561">
        <f t="shared" si="0"/>
        <v>6503.6999999999989</v>
      </c>
      <c r="F19" s="557" t="s">
        <v>401</v>
      </c>
    </row>
    <row r="20" spans="1:6" ht="65" x14ac:dyDescent="0.35">
      <c r="A20" s="647" t="s">
        <v>409</v>
      </c>
      <c r="B20" s="560" t="s">
        <v>408</v>
      </c>
      <c r="C20" s="560">
        <v>7</v>
      </c>
      <c r="D20" s="564">
        <v>100000</v>
      </c>
      <c r="E20" s="561">
        <f t="shared" si="0"/>
        <v>700000</v>
      </c>
      <c r="F20" s="557" t="s">
        <v>401</v>
      </c>
    </row>
    <row r="21" spans="1:6" x14ac:dyDescent="0.35">
      <c r="A21" s="296"/>
      <c r="B21" s="560"/>
      <c r="C21" s="560"/>
      <c r="D21" s="564"/>
      <c r="E21" s="561">
        <f t="shared" si="0"/>
        <v>0</v>
      </c>
      <c r="F21" s="555"/>
    </row>
    <row r="22" spans="1:6" x14ac:dyDescent="0.35">
      <c r="A22" s="296"/>
      <c r="B22" s="560"/>
      <c r="C22" s="560"/>
      <c r="D22" s="564"/>
      <c r="E22" s="561">
        <f t="shared" si="0"/>
        <v>0</v>
      </c>
      <c r="F22" s="555"/>
    </row>
    <row r="23" spans="1:6" x14ac:dyDescent="0.35">
      <c r="A23" s="296"/>
      <c r="B23" s="560"/>
      <c r="C23" s="560"/>
      <c r="D23" s="564"/>
      <c r="E23" s="561">
        <f t="shared" si="0"/>
        <v>0</v>
      </c>
      <c r="F23" s="555"/>
    </row>
    <row r="24" spans="1:6" x14ac:dyDescent="0.35">
      <c r="A24" s="296"/>
      <c r="B24" s="560"/>
      <c r="C24" s="560"/>
      <c r="D24" s="564"/>
      <c r="E24" s="561">
        <f t="shared" si="0"/>
        <v>0</v>
      </c>
      <c r="F24" s="555"/>
    </row>
    <row r="25" spans="1:6" x14ac:dyDescent="0.35">
      <c r="A25" s="296"/>
      <c r="B25" s="560"/>
      <c r="C25" s="560"/>
      <c r="D25" s="564"/>
      <c r="E25" s="561">
        <f t="shared" si="0"/>
        <v>0</v>
      </c>
      <c r="F25" s="555"/>
    </row>
    <row r="26" spans="1:6" x14ac:dyDescent="0.35">
      <c r="A26" s="296"/>
      <c r="B26" s="560"/>
      <c r="C26" s="560"/>
      <c r="D26" s="564"/>
      <c r="E26" s="561">
        <f t="shared" si="0"/>
        <v>0</v>
      </c>
      <c r="F26" s="555"/>
    </row>
  </sheetData>
  <pageMargins left="0.7" right="0.7" top="0.75" bottom="0.75" header="0.3" footer="0.3"/>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sheetPr>
  <dimension ref="B1:N13"/>
  <sheetViews>
    <sheetView showGridLines="0" workbookViewId="0">
      <selection activeCell="F16" sqref="F16"/>
    </sheetView>
  </sheetViews>
  <sheetFormatPr defaultRowHeight="14.5" x14ac:dyDescent="0.35"/>
  <cols>
    <col min="1" max="2" width="3.1796875" customWidth="1"/>
    <col min="3" max="3" width="33" customWidth="1"/>
    <col min="4" max="4" width="15.7265625" customWidth="1"/>
    <col min="5" max="5" width="16.54296875" bestFit="1" customWidth="1"/>
    <col min="6" max="6" width="14.26953125" bestFit="1" customWidth="1"/>
    <col min="8" max="8" width="4" customWidth="1"/>
    <col min="9" max="9" width="51.26953125" bestFit="1" customWidth="1"/>
    <col min="10" max="10" width="56.453125" bestFit="1" customWidth="1"/>
    <col min="11" max="11" width="14.453125" bestFit="1" customWidth="1"/>
    <col min="12" max="13" width="14.453125" hidden="1" customWidth="1"/>
    <col min="14" max="14" width="14.26953125" bestFit="1" customWidth="1"/>
  </cols>
  <sheetData>
    <row r="1" spans="2:14" ht="15" customHeight="1" thickBot="1" x14ac:dyDescent="0.4">
      <c r="K1" s="690"/>
      <c r="L1" s="793" t="s">
        <v>457</v>
      </c>
      <c r="M1" s="794"/>
    </row>
    <row r="2" spans="2:14" ht="26" x14ac:dyDescent="0.35">
      <c r="B2" s="796" t="s">
        <v>448</v>
      </c>
      <c r="C2" s="796"/>
      <c r="D2" s="656" t="s">
        <v>449</v>
      </c>
      <c r="E2" s="691" t="s">
        <v>450</v>
      </c>
      <c r="F2" s="797" t="s">
        <v>451</v>
      </c>
      <c r="G2" s="797"/>
      <c r="H2" s="657"/>
      <c r="I2" s="667" t="s">
        <v>422</v>
      </c>
      <c r="J2" s="667" t="s">
        <v>453</v>
      </c>
      <c r="K2" s="667" t="s">
        <v>456</v>
      </c>
      <c r="L2" s="683" t="s">
        <v>455</v>
      </c>
      <c r="M2" s="679" t="s">
        <v>456</v>
      </c>
    </row>
    <row r="3" spans="2:14" x14ac:dyDescent="0.35">
      <c r="B3" s="658"/>
      <c r="C3" s="659" t="s">
        <v>430</v>
      </c>
      <c r="D3" s="660"/>
      <c r="E3" s="674">
        <f>SUM(E11,E12,K9)</f>
        <v>2540341.0499999998</v>
      </c>
      <c r="F3" s="795" t="s">
        <v>431</v>
      </c>
      <c r="G3" s="795"/>
      <c r="H3" s="657"/>
      <c r="I3" s="668" t="s">
        <v>423</v>
      </c>
      <c r="J3" s="677" t="s">
        <v>473</v>
      </c>
      <c r="K3" s="670">
        <f>SUM('Rozpočet - vývoj Aplikácií'!$BQ$5:$BR$5,'Rozpočet - vývoj Aplikácií'!$BQ$12:$BR$12,'Rozpočet - vývoj Aplikácií'!$BQ$19:$BR$19,'Rozpočet - vývoj Aplikácií'!$BQ$27:$BR$27,'Rozpočet - vývoj Aplikácií'!$BQ$35:$BR$35,'Rozpočet - vývoj Aplikácií'!$BQ$42:$BR$42,'Rozpočet - vývoj Aplikácií'!$BQ$49:$BR$49)</f>
        <v>252520.79999999996</v>
      </c>
      <c r="L3" s="684">
        <f>SUM('Rozpočet - vývoj Aplikácií'!$BQ$5:$BR$5,'Rozpočet - vývoj Aplikácií'!$BQ$12:$BR$12,'Rozpočet - vývoj Aplikácií'!$BQ$19:$BR$19,'Rozpočet - vývoj Aplikácií'!$BQ$27:$BR$27,'Rozpočet - vývoj Aplikácií'!$BQ$35:$BR$35,'Rozpočet - vývoj Aplikácií'!$BQ$42:$BR$42,'Rozpočet - vývoj Aplikácií'!$BQ$49:$BR$49)</f>
        <v>252520.79999999996</v>
      </c>
      <c r="M3" s="680" t="e">
        <f>SUM('Rozpočet - vývoj Aplikácií'!$BQ$5:$BR$5,'Rozpočet - vývoj Aplikácií'!$BQ$12:$BR$12,'Rozpočet - vývoj Aplikácií'!$BQ$19:$BR$19,'Rozpočet - vývoj Aplikácií'!$BQ$27:$BR$27,'Rozpočet - vývoj Aplikácií'!$BQ$35:$BR$35,'Rozpočet - vývoj Aplikácií'!$BQ$42:$BR$42,'Rozpočet - vývoj Aplikácií'!$BQ$49:$BR$49)+(#REF!*'TCO TO BE- SW'!H130)+(#REF!*'TCO TO BE- SW'!E130)</f>
        <v>#REF!</v>
      </c>
      <c r="N3" s="687"/>
    </row>
    <row r="4" spans="2:14" ht="26" x14ac:dyDescent="0.35">
      <c r="B4" s="661" t="s">
        <v>432</v>
      </c>
      <c r="C4" s="661" t="s">
        <v>433</v>
      </c>
      <c r="D4" s="661" t="s">
        <v>434</v>
      </c>
      <c r="E4" s="661" t="s">
        <v>476</v>
      </c>
      <c r="F4" s="661" t="s">
        <v>477</v>
      </c>
      <c r="G4" s="661" t="s">
        <v>435</v>
      </c>
      <c r="H4" s="657"/>
      <c r="I4" s="673" t="s">
        <v>424</v>
      </c>
      <c r="J4" s="673" t="s">
        <v>478</v>
      </c>
      <c r="K4" s="671">
        <f>SUM('Rozpočet - vývoj Aplikácií'!$BQ$52:$BR$53)</f>
        <v>50513.399999999994</v>
      </c>
      <c r="L4" s="685">
        <f>SUM('Rozpočet - vývoj Aplikácií'!$BQ$52:$BR$53)</f>
        <v>50513.399999999994</v>
      </c>
      <c r="M4" s="681" t="e">
        <f>SUM('Rozpočet - vývoj Aplikácií'!$BQ$52:$BR$53)+(#REF!*'TCO TO BE- SW'!$F$130)+(#REF!*'TCO TO BE- SW'!E130)</f>
        <v>#REF!</v>
      </c>
      <c r="N4" s="687"/>
    </row>
    <row r="5" spans="2:14" x14ac:dyDescent="0.35">
      <c r="B5" s="662" t="s">
        <v>436</v>
      </c>
      <c r="C5" s="663" t="s">
        <v>437</v>
      </c>
      <c r="D5" s="664">
        <v>0.15</v>
      </c>
      <c r="E5" s="678">
        <f t="shared" ref="E5:E10" si="0">K3</f>
        <v>252520.79999999996</v>
      </c>
      <c r="F5" s="675">
        <f t="shared" ref="F5:F10" si="1">E5/$K$9</f>
        <v>0.10628655272283717</v>
      </c>
      <c r="G5" s="665" t="s">
        <v>431</v>
      </c>
      <c r="H5" s="657"/>
      <c r="I5" s="673" t="s">
        <v>425</v>
      </c>
      <c r="J5" s="673" t="s">
        <v>480</v>
      </c>
      <c r="K5" s="671">
        <f>SUM('Rozpočet - HW a licencie'!$E$3:$E$19)+SUM('Rozpočet - vývoj Aplikácií'!$BQ$6:$BR$7,'Rozpočet - vývoj Aplikácií'!$BQ$13:$BR$14,'Rozpočet - vývoj Aplikácií'!$BQ$20:$BR$22,'Rozpočet - vývoj Aplikácií'!$BQ$28:$BR$30,'Rozpočet - vývoj Aplikácií'!$BQ$36:$BR$37,'Rozpočet - vývoj Aplikácií'!$BQ$43:$BR$44,'Rozpočet - vývoj Aplikácií'!$BQ$50:$BR$51)</f>
        <v>959406.7</v>
      </c>
      <c r="L5" s="685">
        <f>SUM('Rozpočet - vývoj Aplikácií'!$BQ$6:$BR$7,'Rozpočet - vývoj Aplikácií'!$BQ$13:$BR$14,'Rozpočet - vývoj Aplikácií'!$BQ$20:$BR$22,'Rozpočet - vývoj Aplikácií'!$BQ$28:$BR$30,'Rozpočet - vývoj Aplikácií'!$BQ$36:$BR$37,'Rozpočet - vývoj Aplikácií'!$BQ$43:$BR$44,'Rozpočet - vývoj Aplikácií'!$BQ$50:$BR$51)+SUM('Rozpočet - HW a licencie'!$E$3:$E$20)</f>
        <v>1659406.7</v>
      </c>
      <c r="M5" s="681" t="e">
        <f>SUM('Rozpočet - vývoj Aplikácií'!$BQ$6:$BR$7,'Rozpočet - vývoj Aplikácií'!$BQ$13:$BR$14,'Rozpočet - vývoj Aplikácií'!$BQ$20:$BR$22,'Rozpočet - vývoj Aplikácií'!$BQ$28:$BR$30,'Rozpočet - vývoj Aplikácií'!$BQ$36:$BR$37,'Rozpočet - vývoj Aplikácií'!$BQ$43:$BR$44,'Rozpočet - vývoj Aplikácií'!$BQ$50:$BR$51)+SUM('Rozpočet - HW a licencie'!$E$3:$E$20)+(#REF!*'TCO TO BE- SW'!$F$130)+(#REF!*'TCO TO BE- SW'!E130)</f>
        <v>#REF!</v>
      </c>
      <c r="N5" s="687"/>
    </row>
    <row r="6" spans="2:14" x14ac:dyDescent="0.35">
      <c r="B6" s="662" t="s">
        <v>438</v>
      </c>
      <c r="C6" s="663" t="s">
        <v>439</v>
      </c>
      <c r="D6" s="664">
        <v>0.3</v>
      </c>
      <c r="E6" s="678">
        <f t="shared" si="0"/>
        <v>50513.399999999994</v>
      </c>
      <c r="F6" s="675">
        <f t="shared" si="1"/>
        <v>2.126119968061943E-2</v>
      </c>
      <c r="G6" s="665" t="s">
        <v>431</v>
      </c>
      <c r="H6" s="657"/>
      <c r="I6" s="673" t="s">
        <v>426</v>
      </c>
      <c r="J6" s="673" t="s">
        <v>479</v>
      </c>
      <c r="K6" s="671">
        <f>SUM('Rozpočet - vývoj Aplikácií'!$BQ$9:$BR$10,'Rozpočet - vývoj Aplikácií'!$BQ$16:$BR$17,'Rozpočet - vývoj Aplikácií'!$BQ$24:$BR$25,'Rozpočet - vývoj Aplikácií'!$BQ$32:$BR$33,'Rozpočet - vývoj Aplikácií'!$BQ$39:$BR$40,'Rozpočet - vývoj Aplikácií'!$BQ$46:$BR$47,'Rozpočet - vývoj Aplikácií'!$BQ$55:$BR$56)+'Rozpočet - HW a licencie'!E20</f>
        <v>957439</v>
      </c>
      <c r="L6" s="685">
        <f>SUM('Rozpočet - vývoj Aplikácií'!$BQ$9:$BR$10,'Rozpočet - vývoj Aplikácií'!$BQ$16:$BR$17,'Rozpočet - vývoj Aplikácií'!$BQ$24:$BR$25,'Rozpočet - vývoj Aplikácií'!$BQ$32:$BR$33,'Rozpočet - vývoj Aplikácií'!$BQ$39:$BR$40,'Rozpočet - vývoj Aplikácií'!$BQ$46:$BR$47,'Rozpočet - vývoj Aplikácií'!$BQ$55:$BR$56)+(((SUM('TCO TO BE- SW'!$E$57,'TCO TO BE- SW'!$E$80:$E$87,'TCO TO BE- SW'!$E$110:$E$117,'TCO TO BE - HW'!$E$34))/96)*32)</f>
        <v>1182190.9750416665</v>
      </c>
      <c r="M6" s="681" t="e">
        <f>SUM('Rozpočet - vývoj Aplikácií'!$BQ$9:$BR$10,'Rozpočet - vývoj Aplikácií'!$BQ$16:$BR$17,'Rozpočet - vývoj Aplikácií'!$BQ$24:$BR$25,'Rozpočet - vývoj Aplikácií'!$BQ$32:$BR$33,'Rozpočet - vývoj Aplikácií'!$BQ$39:$BR$40,'Rozpočet - vývoj Aplikácií'!$BQ$46:$BR$47,'Rozpočet - vývoj Aplikácií'!$BQ$55:$BR$56)+(((SUM('TCO TO BE- SW'!$E$57,'TCO TO BE- SW'!$E$80:$E$87,'TCO TO BE- SW'!$E$110:$E$117,'TCO TO BE - HW'!$E$34))/96)*32)+(#REF!*'TCO TO BE- SW'!$F$130)+(#REF!*'TCO TO BE- SW'!E130)</f>
        <v>#REF!</v>
      </c>
      <c r="N6" s="687"/>
    </row>
    <row r="7" spans="2:14" x14ac:dyDescent="0.35">
      <c r="B7" s="662" t="s">
        <v>440</v>
      </c>
      <c r="C7" s="663" t="s">
        <v>441</v>
      </c>
      <c r="D7" s="664">
        <v>0.5</v>
      </c>
      <c r="E7" s="678">
        <f t="shared" si="0"/>
        <v>959406.7</v>
      </c>
      <c r="F7" s="675">
        <f t="shared" si="1"/>
        <v>0.40381636206678118</v>
      </c>
      <c r="G7" s="665" t="s">
        <v>431</v>
      </c>
      <c r="H7" s="657"/>
      <c r="I7" s="673" t="s">
        <v>427</v>
      </c>
      <c r="J7" s="673" t="s">
        <v>474</v>
      </c>
      <c r="K7" s="671">
        <f>SUM('Rozpočet - vývoj Aplikácií'!$BQ$8:$BR$8,'Rozpočet - vývoj Aplikácií'!$BQ$15:$BR$15,'Rozpočet - vývoj Aplikácií'!$BQ$23:$BR$23,'Rozpočet - vývoj Aplikácií'!$BQ$31:$BR$31,'Rozpočet - vývoj Aplikácií'!$BQ$38:$BR$38,'Rozpočet - vývoj Aplikácií'!$BQ$45:$BR$45,'Rozpočet - vývoj Aplikácií'!$BQ$54:$BR$54)</f>
        <v>111239.09999999999</v>
      </c>
      <c r="L7" s="685">
        <f>SUM('Rozpočet - vývoj Aplikácií'!$BQ$8:$BR$8,'Rozpočet - vývoj Aplikácií'!$BQ$15:$BR$15,'Rozpočet - vývoj Aplikácií'!$BQ$23:$BR$23,'Rozpočet - vývoj Aplikácií'!$BQ$31:$BR$31,'Rozpočet - vývoj Aplikácií'!$BQ$38:$BR$38,'Rozpočet - vývoj Aplikácií'!$BQ$45:$BR$45,'Rozpočet - vývoj Aplikácií'!$BQ$54:$BR$54)+'Rozpočet - vývoj Aplikácií'!$BR$58</f>
        <v>155969.09999999998</v>
      </c>
      <c r="M7" s="681" t="e">
        <f>SUM('Rozpočet - vývoj Aplikácií'!$BQ$8:$BR$8,'Rozpočet - vývoj Aplikácií'!$BQ$15:$BR$15,'Rozpočet - vývoj Aplikácií'!$BQ$23:$BR$23,'Rozpočet - vývoj Aplikácií'!$BQ$31:$BR$31,'Rozpočet - vývoj Aplikácií'!$BQ$38:$BR$38,'Rozpočet - vývoj Aplikácií'!$BQ$45:$BR$45,'Rozpočet - vývoj Aplikácií'!$BQ$54:$BR$54)+'Rozpočet - vývoj Aplikácií'!$BR$58+(#REF!*'TCO TO BE- SW'!$F$130)+(#REF!*'TCO TO BE- SW'!E130)</f>
        <v>#REF!</v>
      </c>
      <c r="N7" s="687"/>
    </row>
    <row r="8" spans="2:14" x14ac:dyDescent="0.35">
      <c r="B8" s="662" t="s">
        <v>442</v>
      </c>
      <c r="C8" s="663" t="s">
        <v>443</v>
      </c>
      <c r="D8" s="664">
        <v>0.5</v>
      </c>
      <c r="E8" s="678">
        <f t="shared" si="0"/>
        <v>957439</v>
      </c>
      <c r="F8" s="675">
        <f t="shared" si="1"/>
        <v>0.40298815286661738</v>
      </c>
      <c r="G8" s="665" t="s">
        <v>431</v>
      </c>
      <c r="H8" s="657"/>
      <c r="I8" s="673" t="s">
        <v>428</v>
      </c>
      <c r="J8" s="673" t="s">
        <v>475</v>
      </c>
      <c r="K8" s="671">
        <f>'Rozpočet - vývoj Aplikácií'!$BR$58</f>
        <v>44730</v>
      </c>
      <c r="L8" s="685">
        <f>((SUM('TCO TO BE- SW'!$E$100:$E$107)/96)*32)</f>
        <v>474666.66666666657</v>
      </c>
      <c r="M8" s="681" t="e">
        <f>((SUM('TCO TO BE- SW'!$E$100:$E$107)/96)*32)+(#REF!*'TCO TO BE- SW'!$F$130)+(#REF!*'TCO TO BE- SW'!E130)</f>
        <v>#REF!</v>
      </c>
      <c r="N8" s="655"/>
    </row>
    <row r="9" spans="2:14" ht="26" x14ac:dyDescent="0.35">
      <c r="B9" s="662" t="s">
        <v>444</v>
      </c>
      <c r="C9" s="663" t="s">
        <v>447</v>
      </c>
      <c r="D9" s="664">
        <v>0.2</v>
      </c>
      <c r="E9" s="678">
        <f t="shared" si="0"/>
        <v>111239.09999999999</v>
      </c>
      <c r="F9" s="675">
        <f t="shared" si="1"/>
        <v>4.6820778593252343E-2</v>
      </c>
      <c r="G9" s="665" t="s">
        <v>431</v>
      </c>
      <c r="H9" s="657"/>
      <c r="I9" s="672" t="s">
        <v>429</v>
      </c>
      <c r="J9" s="673"/>
      <c r="K9" s="669">
        <f>SUM(K3,K4,K5,K6,K7,K8)</f>
        <v>2375849</v>
      </c>
      <c r="L9" s="686">
        <v>3712065.78466667</v>
      </c>
      <c r="M9" s="682" t="e">
        <f>SUM(M3:M8)</f>
        <v>#REF!</v>
      </c>
    </row>
    <row r="10" spans="2:14" x14ac:dyDescent="0.35">
      <c r="B10" s="662" t="s">
        <v>446</v>
      </c>
      <c r="C10" s="663" t="s">
        <v>445</v>
      </c>
      <c r="D10" s="664">
        <v>0.2</v>
      </c>
      <c r="E10" s="678">
        <f t="shared" si="0"/>
        <v>44730</v>
      </c>
      <c r="F10" s="675">
        <f t="shared" si="1"/>
        <v>1.8826954069892488E-2</v>
      </c>
      <c r="G10" s="665" t="s">
        <v>431</v>
      </c>
      <c r="H10" s="657"/>
      <c r="L10" s="657"/>
    </row>
    <row r="11" spans="2:14" x14ac:dyDescent="0.35">
      <c r="B11" s="662" t="s">
        <v>452</v>
      </c>
      <c r="C11" s="663" t="s">
        <v>319</v>
      </c>
      <c r="D11" s="664" t="s">
        <v>452</v>
      </c>
      <c r="E11" s="678">
        <f>'Rozpočet - vývoj Aplikácií'!BQ59</f>
        <v>98695.229999999981</v>
      </c>
      <c r="F11" s="675" t="s">
        <v>452</v>
      </c>
      <c r="G11" s="665" t="s">
        <v>452</v>
      </c>
      <c r="H11" s="657"/>
      <c r="L11" s="657"/>
    </row>
    <row r="12" spans="2:14" x14ac:dyDescent="0.35">
      <c r="B12" s="662" t="s">
        <v>452</v>
      </c>
      <c r="C12" s="676" t="s">
        <v>454</v>
      </c>
      <c r="D12" s="664" t="s">
        <v>452</v>
      </c>
      <c r="E12" s="678">
        <f>'TCO TO BE- SW'!$E$140</f>
        <v>65796.820000000022</v>
      </c>
      <c r="F12" s="675" t="s">
        <v>452</v>
      </c>
      <c r="G12" s="665" t="s">
        <v>452</v>
      </c>
      <c r="H12" s="657"/>
      <c r="I12" s="657"/>
      <c r="J12" s="657"/>
      <c r="K12" s="657"/>
      <c r="L12" s="657"/>
    </row>
    <row r="13" spans="2:14" x14ac:dyDescent="0.35">
      <c r="B13" s="657"/>
      <c r="C13" s="657"/>
      <c r="D13" s="657"/>
      <c r="E13" s="666"/>
      <c r="F13" s="666"/>
      <c r="G13" s="657"/>
      <c r="H13" s="657"/>
      <c r="I13" s="657"/>
      <c r="J13" s="657"/>
      <c r="K13" s="657"/>
      <c r="L13" s="657"/>
    </row>
  </sheetData>
  <mergeCells count="4">
    <mergeCell ref="L1:M1"/>
    <mergeCell ref="F3:G3"/>
    <mergeCell ref="B2:C2"/>
    <mergeCell ref="F2:G2"/>
  </mergeCells>
  <conditionalFormatting sqref="E13">
    <cfRule type="expression" dxfId="3" priority="1">
      <formula>D13&gt;=E13</formula>
    </cfRule>
    <cfRule type="expression" dxfId="2" priority="2">
      <formula>E13&gt;D13</formula>
    </cfRule>
  </conditionalFormatting>
  <conditionalFormatting sqref="F13">
    <cfRule type="expression" dxfId="1" priority="62">
      <formula>D13&gt;=F13</formula>
    </cfRule>
    <cfRule type="expression" dxfId="0" priority="63">
      <formula>F13&gt;D13</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CC"/>
  </sheetPr>
  <dimension ref="A1:AQ15"/>
  <sheetViews>
    <sheetView view="pageBreakPreview" topLeftCell="M1" zoomScale="60" zoomScaleNormal="80" workbookViewId="0">
      <selection activeCell="AH20" sqref="AH20"/>
    </sheetView>
  </sheetViews>
  <sheetFormatPr defaultColWidth="8.7265625" defaultRowHeight="12" x14ac:dyDescent="0.3"/>
  <cols>
    <col min="1" max="1" width="36.26953125" style="147" customWidth="1"/>
    <col min="2" max="2" width="34.7265625" style="147" customWidth="1"/>
    <col min="3" max="3" width="3.26953125" style="147" customWidth="1"/>
    <col min="4" max="24" width="3.7265625" style="147" customWidth="1"/>
    <col min="25" max="25" width="4.453125" style="147" customWidth="1"/>
    <col min="26" max="28" width="16.453125" style="147" customWidth="1"/>
    <col min="29" max="29" width="18.1796875" style="147" customWidth="1"/>
    <col min="30" max="30" width="9" style="147" customWidth="1"/>
    <col min="31" max="31" width="9.1796875" style="147" customWidth="1"/>
    <col min="32" max="32" width="9" style="147" customWidth="1"/>
    <col min="33" max="33" width="10.7265625" style="148" customWidth="1"/>
    <col min="34" max="36" width="10.7265625" style="147" customWidth="1"/>
    <col min="37" max="37" width="52.1796875" style="147" customWidth="1"/>
    <col min="38" max="38" width="51.7265625" style="147" customWidth="1"/>
    <col min="39" max="42" width="8.7265625" style="147"/>
    <col min="43" max="43" width="18.81640625" style="147" customWidth="1"/>
    <col min="44" max="16384" width="8.7265625" style="147"/>
  </cols>
  <sheetData>
    <row r="1" spans="1:43" ht="26.15" customHeight="1" thickBot="1" x14ac:dyDescent="0.35">
      <c r="A1" s="806" t="s">
        <v>210</v>
      </c>
      <c r="B1" s="806"/>
      <c r="C1" s="806"/>
      <c r="D1" s="806"/>
      <c r="E1" s="806"/>
      <c r="F1" s="806"/>
      <c r="G1" s="806"/>
      <c r="H1" s="806"/>
      <c r="I1" s="806"/>
      <c r="J1" s="806"/>
      <c r="K1" s="806"/>
      <c r="L1" s="806"/>
      <c r="M1" s="806"/>
      <c r="N1" s="806"/>
      <c r="O1" s="806"/>
      <c r="P1" s="806"/>
      <c r="Q1" s="806"/>
      <c r="R1" s="806"/>
      <c r="S1" s="806"/>
      <c r="T1" s="806"/>
      <c r="U1" s="806"/>
      <c r="V1" s="806"/>
      <c r="W1" s="806"/>
      <c r="X1" s="806"/>
      <c r="Y1" s="806"/>
      <c r="Z1" s="565"/>
      <c r="AA1" s="565"/>
      <c r="AB1" s="565"/>
      <c r="AC1" s="565"/>
      <c r="AD1" s="806" t="s">
        <v>208</v>
      </c>
      <c r="AE1" s="806"/>
      <c r="AF1" s="806"/>
      <c r="AG1" s="806"/>
      <c r="AH1" s="806"/>
      <c r="AI1" s="806"/>
      <c r="AJ1" s="806"/>
      <c r="AK1" s="806"/>
    </row>
    <row r="2" spans="1:43" ht="36" customHeight="1" thickBot="1" x14ac:dyDescent="0.35">
      <c r="A2" s="266"/>
      <c r="B2" s="265"/>
      <c r="C2" s="267"/>
      <c r="D2" s="265"/>
      <c r="E2" s="265"/>
      <c r="F2" s="265"/>
      <c r="G2" s="265"/>
      <c r="H2" s="265"/>
      <c r="I2" s="265"/>
      <c r="J2" s="265"/>
      <c r="K2" s="265"/>
      <c r="L2" s="265"/>
      <c r="M2" s="265"/>
      <c r="N2" s="268"/>
      <c r="O2" s="265"/>
      <c r="P2" s="265"/>
      <c r="Q2" s="265"/>
      <c r="R2" s="265"/>
      <c r="S2" s="265"/>
      <c r="T2" s="265"/>
      <c r="U2" s="265"/>
      <c r="V2" s="265"/>
      <c r="W2" s="265"/>
      <c r="X2" s="265"/>
      <c r="Y2" s="268"/>
      <c r="Z2" s="807" t="s">
        <v>282</v>
      </c>
      <c r="AA2" s="808"/>
      <c r="AB2" s="808"/>
      <c r="AC2" s="808"/>
      <c r="AD2" s="808"/>
      <c r="AE2" s="808"/>
      <c r="AF2" s="808"/>
      <c r="AG2" s="808"/>
      <c r="AH2" s="808"/>
      <c r="AI2" s="808"/>
      <c r="AJ2" s="808"/>
      <c r="AK2" s="809"/>
      <c r="AL2" s="798" t="s">
        <v>281</v>
      </c>
      <c r="AM2" s="799"/>
      <c r="AN2" s="799"/>
      <c r="AO2" s="799"/>
      <c r="AP2" s="799"/>
      <c r="AQ2" s="800"/>
    </row>
    <row r="3" spans="1:43" ht="36" customHeight="1" thickBot="1" x14ac:dyDescent="0.35">
      <c r="A3" s="351"/>
      <c r="B3" s="349"/>
      <c r="C3" s="350"/>
      <c r="D3" s="349"/>
      <c r="E3" s="349"/>
      <c r="F3" s="349"/>
      <c r="G3" s="349"/>
      <c r="H3" s="349"/>
      <c r="I3" s="349"/>
      <c r="J3" s="349"/>
      <c r="K3" s="349"/>
      <c r="L3" s="349"/>
      <c r="M3" s="349"/>
      <c r="N3" s="348"/>
      <c r="O3" s="349"/>
      <c r="P3" s="349"/>
      <c r="Q3" s="349"/>
      <c r="R3" s="349"/>
      <c r="S3" s="349"/>
      <c r="T3" s="349"/>
      <c r="U3" s="349"/>
      <c r="V3" s="349"/>
      <c r="W3" s="349"/>
      <c r="X3" s="349"/>
      <c r="Y3" s="348"/>
      <c r="Z3" s="798" t="s">
        <v>341</v>
      </c>
      <c r="AA3" s="799"/>
      <c r="AB3" s="799"/>
      <c r="AC3" s="799"/>
      <c r="AD3" s="798" t="s">
        <v>342</v>
      </c>
      <c r="AE3" s="799"/>
      <c r="AF3" s="799"/>
      <c r="AG3" s="799"/>
      <c r="AH3" s="799"/>
      <c r="AI3" s="799"/>
      <c r="AJ3" s="799"/>
      <c r="AK3" s="800"/>
      <c r="AL3" s="271"/>
      <c r="AM3" s="272"/>
      <c r="AN3" s="272"/>
      <c r="AO3" s="272"/>
      <c r="AP3" s="272"/>
      <c r="AQ3" s="262"/>
    </row>
    <row r="4" spans="1:43" ht="51" customHeight="1" x14ac:dyDescent="0.3">
      <c r="A4" s="351" t="s">
        <v>211</v>
      </c>
      <c r="B4" s="637" t="s">
        <v>353</v>
      </c>
      <c r="C4" s="350" t="s">
        <v>124</v>
      </c>
      <c r="D4" s="349" t="s">
        <v>125</v>
      </c>
      <c r="E4" s="349" t="s">
        <v>126</v>
      </c>
      <c r="F4" s="349" t="s">
        <v>127</v>
      </c>
      <c r="G4" s="349" t="s">
        <v>128</v>
      </c>
      <c r="H4" s="349" t="s">
        <v>129</v>
      </c>
      <c r="I4" s="349" t="s">
        <v>130</v>
      </c>
      <c r="J4" s="349" t="s">
        <v>131</v>
      </c>
      <c r="K4" s="349" t="s">
        <v>132</v>
      </c>
      <c r="L4" s="349" t="s">
        <v>133</v>
      </c>
      <c r="M4" s="349" t="s">
        <v>134</v>
      </c>
      <c r="N4" s="348" t="s">
        <v>135</v>
      </c>
      <c r="O4" s="349" t="s">
        <v>136</v>
      </c>
      <c r="P4" s="349" t="s">
        <v>137</v>
      </c>
      <c r="Q4" s="349" t="s">
        <v>138</v>
      </c>
      <c r="R4" s="349" t="s">
        <v>139</v>
      </c>
      <c r="S4" s="349" t="s">
        <v>140</v>
      </c>
      <c r="T4" s="349" t="s">
        <v>141</v>
      </c>
      <c r="U4" s="349" t="s">
        <v>142</v>
      </c>
      <c r="V4" s="349" t="s">
        <v>143</v>
      </c>
      <c r="W4" s="349" t="s">
        <v>144</v>
      </c>
      <c r="X4" s="349" t="s">
        <v>145</v>
      </c>
      <c r="Y4" s="348" t="s">
        <v>146</v>
      </c>
      <c r="Z4" s="267" t="s">
        <v>343</v>
      </c>
      <c r="AA4" s="265" t="s">
        <v>344</v>
      </c>
      <c r="AB4" s="265" t="s">
        <v>345</v>
      </c>
      <c r="AC4" s="265" t="s">
        <v>346</v>
      </c>
      <c r="AD4" s="269" t="s">
        <v>202</v>
      </c>
      <c r="AE4" s="270" t="s">
        <v>203</v>
      </c>
      <c r="AF4" s="270" t="s">
        <v>204</v>
      </c>
      <c r="AG4" s="262" t="s">
        <v>207</v>
      </c>
      <c r="AH4" s="262" t="s">
        <v>206</v>
      </c>
      <c r="AI4" s="262" t="s">
        <v>158</v>
      </c>
      <c r="AJ4" s="801" t="s">
        <v>209</v>
      </c>
      <c r="AK4" s="621" t="s">
        <v>212</v>
      </c>
      <c r="AL4" s="621" t="s">
        <v>280</v>
      </c>
      <c r="AM4" s="269" t="s">
        <v>202</v>
      </c>
      <c r="AN4" s="270" t="s">
        <v>203</v>
      </c>
      <c r="AO4" s="270" t="s">
        <v>204</v>
      </c>
      <c r="AP4" s="262" t="s">
        <v>207</v>
      </c>
      <c r="AQ4" s="804" t="s">
        <v>279</v>
      </c>
    </row>
    <row r="5" spans="1:43" ht="8.25" customHeight="1" thickBot="1" x14ac:dyDescent="0.35">
      <c r="A5" s="150"/>
      <c r="B5" s="151"/>
      <c r="C5" s="152"/>
      <c r="D5" s="151"/>
      <c r="E5" s="151"/>
      <c r="F5" s="151"/>
      <c r="G5" s="151"/>
      <c r="H5" s="151"/>
      <c r="I5" s="151"/>
      <c r="J5" s="151"/>
      <c r="K5" s="151"/>
      <c r="L5" s="151"/>
      <c r="M5" s="151"/>
      <c r="N5" s="153"/>
      <c r="O5" s="151"/>
      <c r="P5" s="151"/>
      <c r="Q5" s="151"/>
      <c r="R5" s="151"/>
      <c r="S5" s="151"/>
      <c r="T5" s="151"/>
      <c r="U5" s="151"/>
      <c r="V5" s="151"/>
      <c r="W5" s="151"/>
      <c r="X5" s="151"/>
      <c r="Y5" s="153"/>
      <c r="Z5" s="152"/>
      <c r="AA5" s="151"/>
      <c r="AB5" s="151"/>
      <c r="AC5" s="151"/>
      <c r="AD5" s="271"/>
      <c r="AE5" s="272"/>
      <c r="AF5" s="272"/>
      <c r="AG5" s="280"/>
      <c r="AH5" s="280"/>
      <c r="AI5" s="280"/>
      <c r="AJ5" s="802"/>
      <c r="AK5" s="347"/>
      <c r="AL5" s="282"/>
      <c r="AM5" s="271"/>
      <c r="AN5" s="272"/>
      <c r="AO5" s="272"/>
      <c r="AP5" s="280"/>
      <c r="AQ5" s="805"/>
    </row>
    <row r="6" spans="1:43" ht="15" customHeight="1" x14ac:dyDescent="0.3">
      <c r="A6" s="263" t="s">
        <v>205</v>
      </c>
      <c r="B6" s="263"/>
      <c r="C6" s="358"/>
      <c r="D6" s="359"/>
      <c r="E6" s="359"/>
      <c r="F6" s="359"/>
      <c r="G6" s="359"/>
      <c r="H6" s="359"/>
      <c r="I6" s="359"/>
      <c r="J6" s="359"/>
      <c r="K6" s="359"/>
      <c r="L6" s="359"/>
      <c r="M6" s="359"/>
      <c r="N6" s="360"/>
      <c r="O6" s="359"/>
      <c r="P6" s="359"/>
      <c r="Q6" s="359"/>
      <c r="R6" s="359"/>
      <c r="S6" s="359"/>
      <c r="T6" s="359"/>
      <c r="U6" s="359"/>
      <c r="V6" s="359"/>
      <c r="W6" s="359"/>
      <c r="X6" s="359"/>
      <c r="Y6" s="360"/>
      <c r="Z6" s="623"/>
      <c r="AA6" s="624"/>
      <c r="AB6" s="624"/>
      <c r="AC6" s="625"/>
      <c r="AD6" s="586"/>
      <c r="AE6" s="290"/>
      <c r="AF6" s="290"/>
      <c r="AG6" s="577">
        <f t="shared" ref="AG6:AG11" si="0">AD6*AF6+AC6</f>
        <v>0</v>
      </c>
      <c r="AH6" s="577">
        <f t="shared" ref="AH6:AH11" si="1">AE6*AF6+AC6</f>
        <v>0</v>
      </c>
      <c r="AI6" s="577">
        <f t="shared" ref="AI6:AI11" si="2">AH6-AG6</f>
        <v>0</v>
      </c>
      <c r="AJ6" s="802"/>
      <c r="AK6" s="588"/>
      <c r="AL6" s="585"/>
      <c r="AM6" s="586"/>
      <c r="AN6" s="290"/>
      <c r="AO6" s="290"/>
      <c r="AP6" s="577">
        <f t="shared" ref="AP6:AP11" si="3">AM6*AO6</f>
        <v>0</v>
      </c>
      <c r="AQ6" s="588"/>
    </row>
    <row r="7" spans="1:43" ht="15" customHeight="1" x14ac:dyDescent="0.3">
      <c r="A7" s="263" t="s">
        <v>163</v>
      </c>
      <c r="B7" s="263"/>
      <c r="C7" s="361"/>
      <c r="D7" s="362"/>
      <c r="E7" s="362"/>
      <c r="F7" s="362"/>
      <c r="G7" s="362"/>
      <c r="H7" s="362"/>
      <c r="I7" s="362"/>
      <c r="J7" s="362"/>
      <c r="K7" s="362"/>
      <c r="L7" s="362"/>
      <c r="M7" s="362"/>
      <c r="N7" s="363"/>
      <c r="O7" s="362"/>
      <c r="P7" s="362"/>
      <c r="Q7" s="362"/>
      <c r="R7" s="362"/>
      <c r="S7" s="362"/>
      <c r="T7" s="362"/>
      <c r="U7" s="362"/>
      <c r="V7" s="362"/>
      <c r="W7" s="362"/>
      <c r="X7" s="362"/>
      <c r="Y7" s="363"/>
      <c r="Z7" s="626"/>
      <c r="AA7" s="627"/>
      <c r="AB7" s="627"/>
      <c r="AC7" s="628"/>
      <c r="AD7" s="586"/>
      <c r="AE7" s="290"/>
      <c r="AF7" s="290"/>
      <c r="AG7" s="577">
        <f t="shared" si="0"/>
        <v>0</v>
      </c>
      <c r="AH7" s="577">
        <f t="shared" si="1"/>
        <v>0</v>
      </c>
      <c r="AI7" s="577">
        <f t="shared" si="2"/>
        <v>0</v>
      </c>
      <c r="AJ7" s="802"/>
      <c r="AK7" s="589"/>
      <c r="AL7" s="586"/>
      <c r="AM7" s="586"/>
      <c r="AN7" s="290"/>
      <c r="AO7" s="290"/>
      <c r="AP7" s="577">
        <f t="shared" si="3"/>
        <v>0</v>
      </c>
      <c r="AQ7" s="589"/>
    </row>
    <row r="8" spans="1:43" ht="15" customHeight="1" x14ac:dyDescent="0.3">
      <c r="A8" s="263" t="s">
        <v>164</v>
      </c>
      <c r="B8" s="263"/>
      <c r="C8" s="361"/>
      <c r="D8" s="362"/>
      <c r="E8" s="362"/>
      <c r="F8" s="362"/>
      <c r="G8" s="362"/>
      <c r="H8" s="362"/>
      <c r="I8" s="362"/>
      <c r="J8" s="362"/>
      <c r="K8" s="362"/>
      <c r="L8" s="362"/>
      <c r="M8" s="362"/>
      <c r="N8" s="363"/>
      <c r="O8" s="362"/>
      <c r="P8" s="362"/>
      <c r="Q8" s="362"/>
      <c r="R8" s="362"/>
      <c r="S8" s="362"/>
      <c r="T8" s="362"/>
      <c r="U8" s="362"/>
      <c r="V8" s="362"/>
      <c r="W8" s="362"/>
      <c r="X8" s="362"/>
      <c r="Y8" s="363"/>
      <c r="Z8" s="626"/>
      <c r="AA8" s="627"/>
      <c r="AB8" s="627"/>
      <c r="AC8" s="628"/>
      <c r="AD8" s="586"/>
      <c r="AE8" s="290"/>
      <c r="AF8" s="290"/>
      <c r="AG8" s="577">
        <f t="shared" si="0"/>
        <v>0</v>
      </c>
      <c r="AH8" s="577">
        <f t="shared" si="1"/>
        <v>0</v>
      </c>
      <c r="AI8" s="577">
        <f t="shared" si="2"/>
        <v>0</v>
      </c>
      <c r="AJ8" s="802"/>
      <c r="AK8" s="589"/>
      <c r="AL8" s="586"/>
      <c r="AM8" s="586"/>
      <c r="AN8" s="290"/>
      <c r="AO8" s="290"/>
      <c r="AP8" s="577">
        <f t="shared" si="3"/>
        <v>0</v>
      </c>
      <c r="AQ8" s="589"/>
    </row>
    <row r="9" spans="1:43" ht="15" customHeight="1" x14ac:dyDescent="0.3">
      <c r="A9" s="263" t="s">
        <v>165</v>
      </c>
      <c r="B9" s="263"/>
      <c r="C9" s="361"/>
      <c r="D9" s="362"/>
      <c r="E9" s="362"/>
      <c r="F9" s="362"/>
      <c r="G9" s="362"/>
      <c r="H9" s="362"/>
      <c r="I9" s="362"/>
      <c r="J9" s="362"/>
      <c r="K9" s="362"/>
      <c r="L9" s="362"/>
      <c r="M9" s="362"/>
      <c r="N9" s="363"/>
      <c r="O9" s="362"/>
      <c r="P9" s="362"/>
      <c r="Q9" s="362"/>
      <c r="R9" s="362"/>
      <c r="S9" s="362"/>
      <c r="T9" s="362"/>
      <c r="U9" s="362"/>
      <c r="V9" s="362"/>
      <c r="W9" s="362"/>
      <c r="X9" s="362"/>
      <c r="Y9" s="363"/>
      <c r="Z9" s="626"/>
      <c r="AA9" s="627"/>
      <c r="AB9" s="627"/>
      <c r="AC9" s="628"/>
      <c r="AD9" s="586"/>
      <c r="AE9" s="290"/>
      <c r="AF9" s="290"/>
      <c r="AG9" s="577">
        <f t="shared" si="0"/>
        <v>0</v>
      </c>
      <c r="AH9" s="577">
        <f t="shared" si="1"/>
        <v>0</v>
      </c>
      <c r="AI9" s="577">
        <f t="shared" si="2"/>
        <v>0</v>
      </c>
      <c r="AJ9" s="802"/>
      <c r="AK9" s="589"/>
      <c r="AL9" s="586"/>
      <c r="AM9" s="586"/>
      <c r="AN9" s="290"/>
      <c r="AO9" s="290"/>
      <c r="AP9" s="577">
        <f t="shared" si="3"/>
        <v>0</v>
      </c>
      <c r="AQ9" s="589"/>
    </row>
    <row r="10" spans="1:43" ht="15" customHeight="1" x14ac:dyDescent="0.3">
      <c r="A10" s="263" t="s">
        <v>166</v>
      </c>
      <c r="B10" s="263"/>
      <c r="C10" s="361"/>
      <c r="D10" s="362"/>
      <c r="E10" s="362"/>
      <c r="F10" s="362"/>
      <c r="G10" s="362"/>
      <c r="H10" s="362"/>
      <c r="I10" s="362"/>
      <c r="J10" s="362"/>
      <c r="K10" s="362"/>
      <c r="L10" s="362"/>
      <c r="M10" s="362"/>
      <c r="N10" s="363"/>
      <c r="O10" s="362"/>
      <c r="P10" s="362"/>
      <c r="Q10" s="362"/>
      <c r="R10" s="362"/>
      <c r="S10" s="362"/>
      <c r="T10" s="362"/>
      <c r="U10" s="362"/>
      <c r="V10" s="362"/>
      <c r="W10" s="362"/>
      <c r="X10" s="362"/>
      <c r="Y10" s="363"/>
      <c r="Z10" s="626"/>
      <c r="AA10" s="627"/>
      <c r="AB10" s="627"/>
      <c r="AC10" s="628"/>
      <c r="AD10" s="586"/>
      <c r="AE10" s="290"/>
      <c r="AF10" s="290"/>
      <c r="AG10" s="577">
        <f t="shared" si="0"/>
        <v>0</v>
      </c>
      <c r="AH10" s="577">
        <f t="shared" si="1"/>
        <v>0</v>
      </c>
      <c r="AI10" s="577">
        <f t="shared" si="2"/>
        <v>0</v>
      </c>
      <c r="AJ10" s="802"/>
      <c r="AK10" s="589"/>
      <c r="AL10" s="586"/>
      <c r="AM10" s="586"/>
      <c r="AN10" s="290"/>
      <c r="AO10" s="290"/>
      <c r="AP10" s="577">
        <f t="shared" si="3"/>
        <v>0</v>
      </c>
      <c r="AQ10" s="589"/>
    </row>
    <row r="11" spans="1:43" ht="16" customHeight="1" thickBot="1" x14ac:dyDescent="0.35">
      <c r="A11" s="264" t="s">
        <v>156</v>
      </c>
      <c r="B11" s="264"/>
      <c r="C11" s="364"/>
      <c r="D11" s="365"/>
      <c r="E11" s="365"/>
      <c r="F11" s="365"/>
      <c r="G11" s="365"/>
      <c r="H11" s="365"/>
      <c r="I11" s="365"/>
      <c r="J11" s="365"/>
      <c r="K11" s="365"/>
      <c r="L11" s="365"/>
      <c r="M11" s="365"/>
      <c r="N11" s="366"/>
      <c r="O11" s="365"/>
      <c r="P11" s="365"/>
      <c r="Q11" s="365"/>
      <c r="R11" s="365"/>
      <c r="S11" s="365"/>
      <c r="T11" s="365"/>
      <c r="U11" s="365"/>
      <c r="V11" s="365"/>
      <c r="W11" s="365"/>
      <c r="X11" s="365"/>
      <c r="Y11" s="366"/>
      <c r="Z11" s="629"/>
      <c r="AA11" s="630"/>
      <c r="AB11" s="630"/>
      <c r="AC11" s="631"/>
      <c r="AD11" s="587"/>
      <c r="AE11" s="291"/>
      <c r="AF11" s="291"/>
      <c r="AG11" s="622">
        <f t="shared" si="0"/>
        <v>0</v>
      </c>
      <c r="AH11" s="622">
        <f t="shared" si="1"/>
        <v>0</v>
      </c>
      <c r="AI11" s="622">
        <f t="shared" si="2"/>
        <v>0</v>
      </c>
      <c r="AJ11" s="803"/>
      <c r="AK11" s="590"/>
      <c r="AL11" s="587"/>
      <c r="AM11" s="587"/>
      <c r="AN11" s="291"/>
      <c r="AO11" s="291"/>
      <c r="AP11" s="577">
        <f t="shared" si="3"/>
        <v>0</v>
      </c>
      <c r="AQ11" s="590"/>
    </row>
    <row r="12" spans="1:43" ht="12.5" thickBot="1" x14ac:dyDescent="0.35">
      <c r="A12" s="257" t="s">
        <v>157</v>
      </c>
      <c r="B12" s="156"/>
      <c r="C12" s="156"/>
      <c r="D12" s="156"/>
      <c r="E12" s="156"/>
      <c r="F12" s="156"/>
      <c r="G12" s="156"/>
      <c r="H12" s="156"/>
      <c r="I12" s="156"/>
      <c r="J12" s="156"/>
      <c r="K12" s="156"/>
      <c r="L12" s="156"/>
      <c r="M12" s="156"/>
      <c r="N12" s="156"/>
      <c r="O12" s="156"/>
      <c r="P12" s="156"/>
      <c r="Q12" s="156"/>
      <c r="R12" s="156"/>
      <c r="S12" s="156"/>
      <c r="T12" s="156"/>
      <c r="U12" s="156"/>
      <c r="V12" s="156"/>
      <c r="W12" s="156"/>
      <c r="X12" s="156"/>
      <c r="Y12" s="156"/>
      <c r="Z12" s="620"/>
      <c r="AA12" s="620"/>
      <c r="AB12" s="620"/>
      <c r="AC12" s="620">
        <f t="shared" ref="AC12:AI12" si="4">SUM(AC6:AC11)</f>
        <v>0</v>
      </c>
      <c r="AD12" s="276">
        <f t="shared" si="4"/>
        <v>0</v>
      </c>
      <c r="AE12" s="276">
        <f t="shared" si="4"/>
        <v>0</v>
      </c>
      <c r="AF12" s="276">
        <f t="shared" si="4"/>
        <v>0</v>
      </c>
      <c r="AG12" s="281">
        <f t="shared" si="4"/>
        <v>0</v>
      </c>
      <c r="AH12" s="281">
        <f t="shared" si="4"/>
        <v>0</v>
      </c>
      <c r="AI12" s="281">
        <f t="shared" si="4"/>
        <v>0</v>
      </c>
      <c r="AJ12" s="346">
        <v>0</v>
      </c>
      <c r="AK12" s="345"/>
      <c r="AL12" s="276"/>
      <c r="AM12" s="276">
        <f>SUM(AM6:AM11)</f>
        <v>0</v>
      </c>
      <c r="AN12" s="276">
        <f>SUM(AN6:AN11)</f>
        <v>0</v>
      </c>
      <c r="AO12" s="276">
        <f>SUM(AO6:AO11)</f>
        <v>0</v>
      </c>
      <c r="AP12" s="281">
        <f>SUM(AP6:AP11)</f>
        <v>0</v>
      </c>
      <c r="AQ12" s="281"/>
    </row>
    <row r="13" spans="1:43" x14ac:dyDescent="0.3">
      <c r="AH13" s="158"/>
      <c r="AI13" s="158"/>
      <c r="AJ13" s="158"/>
    </row>
    <row r="15" spans="1:43" ht="15" x14ac:dyDescent="0.3">
      <c r="AG15" s="159"/>
    </row>
  </sheetData>
  <mergeCells count="8">
    <mergeCell ref="AL2:AQ2"/>
    <mergeCell ref="AJ4:AJ11"/>
    <mergeCell ref="AQ4:AQ5"/>
    <mergeCell ref="A1:Y1"/>
    <mergeCell ref="AD1:AK1"/>
    <mergeCell ref="Z2:AK2"/>
    <mergeCell ref="Z3:AC3"/>
    <mergeCell ref="AD3:AK3"/>
  </mergeCells>
  <conditionalFormatting sqref="C6:AC11">
    <cfRule type="colorScale" priority="1">
      <colorScale>
        <cfvo type="num" val="0"/>
        <cfvo type="num" val="1"/>
        <color theme="0"/>
        <color theme="2" tint="-0.249977111117893"/>
      </colorScale>
    </cfRule>
  </conditionalFormatting>
  <pageMargins left="0.7" right="0.7" top="0.75" bottom="0.75" header="0.3" footer="0.3"/>
  <pageSetup paperSize="9" scale="19"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CC"/>
  </sheetPr>
  <dimension ref="A1:D16"/>
  <sheetViews>
    <sheetView view="pageBreakPreview" topLeftCell="A4" zoomScale="120" zoomScaleNormal="80" zoomScaleSheetLayoutView="120" workbookViewId="0">
      <selection activeCell="H11" sqref="H11"/>
    </sheetView>
  </sheetViews>
  <sheetFormatPr defaultColWidth="8.81640625" defaultRowHeight="14.5" x14ac:dyDescent="0.35"/>
  <cols>
    <col min="1" max="1" width="32.26953125" style="4" customWidth="1"/>
    <col min="2" max="2" width="66.7265625" style="4" customWidth="1"/>
    <col min="3" max="3" width="14.26953125" style="6" customWidth="1"/>
    <col min="4" max="4" width="23.453125" style="4" customWidth="1"/>
    <col min="5" max="16384" width="8.81640625" style="4"/>
  </cols>
  <sheetData>
    <row r="1" spans="1:4" ht="15.5" thickTop="1" thickBot="1" x14ac:dyDescent="0.4">
      <c r="A1" s="1" t="s">
        <v>0</v>
      </c>
      <c r="B1" s="2" t="s">
        <v>1</v>
      </c>
      <c r="C1" s="5" t="s">
        <v>10</v>
      </c>
      <c r="D1" s="3" t="s">
        <v>2</v>
      </c>
    </row>
    <row r="2" spans="1:4" ht="147" customHeight="1" thickTop="1" thickBot="1" x14ac:dyDescent="0.4">
      <c r="A2" s="532" t="s">
        <v>3</v>
      </c>
      <c r="B2" s="533" t="s">
        <v>4</v>
      </c>
      <c r="C2" s="534" t="s">
        <v>11</v>
      </c>
      <c r="D2" s="211">
        <v>10</v>
      </c>
    </row>
    <row r="3" spans="1:4" ht="41.5" customHeight="1" x14ac:dyDescent="0.35">
      <c r="A3" s="818" t="s">
        <v>5</v>
      </c>
      <c r="B3" s="829" t="s">
        <v>14</v>
      </c>
      <c r="C3" s="831" t="s">
        <v>12</v>
      </c>
      <c r="D3" s="820">
        <v>0.04</v>
      </c>
    </row>
    <row r="4" spans="1:4" ht="63" customHeight="1" thickBot="1" x14ac:dyDescent="0.4">
      <c r="A4" s="819"/>
      <c r="B4" s="830"/>
      <c r="C4" s="832"/>
      <c r="D4" s="821"/>
    </row>
    <row r="5" spans="1:4" ht="28" x14ac:dyDescent="0.35">
      <c r="A5" s="818" t="s">
        <v>6</v>
      </c>
      <c r="B5" s="535" t="s">
        <v>7</v>
      </c>
      <c r="C5" s="831" t="s">
        <v>12</v>
      </c>
      <c r="D5" s="822">
        <v>0.05</v>
      </c>
    </row>
    <row r="6" spans="1:4" ht="42.5" thickBot="1" x14ac:dyDescent="0.4">
      <c r="A6" s="819"/>
      <c r="B6" s="533" t="s">
        <v>8</v>
      </c>
      <c r="C6" s="832"/>
      <c r="D6" s="823"/>
    </row>
    <row r="7" spans="1:4" ht="28.5" thickBot="1" x14ac:dyDescent="0.4">
      <c r="A7" s="536" t="s">
        <v>184</v>
      </c>
      <c r="B7" s="537" t="s">
        <v>323</v>
      </c>
      <c r="C7" s="538" t="s">
        <v>13</v>
      </c>
      <c r="D7" s="210">
        <v>1465</v>
      </c>
    </row>
    <row r="8" spans="1:4" ht="15" customHeight="1" x14ac:dyDescent="0.35">
      <c r="A8" s="824" t="s">
        <v>9</v>
      </c>
      <c r="B8" s="814" t="s">
        <v>328</v>
      </c>
      <c r="C8" s="833" t="s">
        <v>15</v>
      </c>
      <c r="D8" s="826">
        <f>$D$7*1.352/(D12/12)</f>
        <v>12.142099616858237</v>
      </c>
    </row>
    <row r="9" spans="1:4" ht="57" customHeight="1" thickBot="1" x14ac:dyDescent="0.4">
      <c r="A9" s="825"/>
      <c r="B9" s="828"/>
      <c r="C9" s="834"/>
      <c r="D9" s="827"/>
    </row>
    <row r="10" spans="1:4" x14ac:dyDescent="0.35">
      <c r="A10" s="812" t="s">
        <v>185</v>
      </c>
      <c r="B10" s="814" t="s">
        <v>324</v>
      </c>
      <c r="C10" s="810" t="s">
        <v>15</v>
      </c>
      <c r="D10" s="816">
        <v>5.55</v>
      </c>
    </row>
    <row r="11" spans="1:4" ht="20.25" customHeight="1" thickBot="1" x14ac:dyDescent="0.4">
      <c r="A11" s="813"/>
      <c r="B11" s="815"/>
      <c r="C11" s="811"/>
      <c r="D11" s="817"/>
    </row>
    <row r="12" spans="1:4" ht="72" customHeight="1" thickBot="1" x14ac:dyDescent="0.4">
      <c r="A12" s="539" t="s">
        <v>325</v>
      </c>
      <c r="B12" s="537" t="s">
        <v>330</v>
      </c>
      <c r="C12" s="540" t="s">
        <v>326</v>
      </c>
      <c r="D12" s="542">
        <v>1957.5</v>
      </c>
    </row>
    <row r="13" spans="1:4" ht="72" customHeight="1" thickBot="1" x14ac:dyDescent="0.4">
      <c r="A13" s="539" t="s">
        <v>327</v>
      </c>
      <c r="B13" s="537" t="s">
        <v>329</v>
      </c>
      <c r="C13" s="540" t="s">
        <v>326</v>
      </c>
      <c r="D13" s="541">
        <v>2088</v>
      </c>
    </row>
    <row r="14" spans="1:4" ht="21" customHeight="1" thickBot="1" x14ac:dyDescent="0.4">
      <c r="A14" s="539" t="s">
        <v>25</v>
      </c>
      <c r="B14" s="539" t="s">
        <v>114</v>
      </c>
      <c r="C14" s="540" t="s">
        <v>11</v>
      </c>
      <c r="D14" s="109">
        <v>2020</v>
      </c>
    </row>
    <row r="15" spans="1:4" ht="29" customHeight="1" thickBot="1" x14ac:dyDescent="0.4">
      <c r="A15" s="539" t="s">
        <v>534</v>
      </c>
      <c r="B15" s="539" t="s">
        <v>533</v>
      </c>
      <c r="C15" s="540" t="s">
        <v>13</v>
      </c>
      <c r="D15" s="693">
        <v>408684658.92000002</v>
      </c>
    </row>
    <row r="16" spans="1:4" ht="44" customHeight="1" thickBot="1" x14ac:dyDescent="0.4">
      <c r="A16" s="539" t="s">
        <v>535</v>
      </c>
      <c r="B16" s="539" t="s">
        <v>536</v>
      </c>
      <c r="C16" s="540" t="s">
        <v>13</v>
      </c>
      <c r="D16" s="693">
        <f>0.05*D15</f>
        <v>20434232.946000002</v>
      </c>
    </row>
  </sheetData>
  <mergeCells count="15">
    <mergeCell ref="C10:C11"/>
    <mergeCell ref="A10:A11"/>
    <mergeCell ref="B10:B11"/>
    <mergeCell ref="D10:D11"/>
    <mergeCell ref="A3:A4"/>
    <mergeCell ref="D3:D4"/>
    <mergeCell ref="A5:A6"/>
    <mergeCell ref="D5:D6"/>
    <mergeCell ref="A8:A9"/>
    <mergeCell ref="D8:D9"/>
    <mergeCell ref="B8:B9"/>
    <mergeCell ref="B3:B4"/>
    <mergeCell ref="C3:C4"/>
    <mergeCell ref="C8:C9"/>
    <mergeCell ref="C5:C6"/>
  </mergeCells>
  <pageMargins left="0.7" right="0.7" top="0.75" bottom="0.75" header="0.3" footer="0.3"/>
  <pageSetup paperSize="9" scale="63"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CC"/>
  </sheetPr>
  <dimension ref="A1:U58"/>
  <sheetViews>
    <sheetView view="pageBreakPreview" zoomScale="80" zoomScaleNormal="60" zoomScaleSheetLayoutView="80" workbookViewId="0">
      <selection activeCell="AF52" sqref="AF52"/>
    </sheetView>
  </sheetViews>
  <sheetFormatPr defaultColWidth="8.81640625" defaultRowHeight="14.5" x14ac:dyDescent="0.35"/>
  <sheetData>
    <row r="1" spans="1:21" x14ac:dyDescent="0.35">
      <c r="A1" t="s">
        <v>224</v>
      </c>
      <c r="D1" s="308"/>
      <c r="E1" s="308"/>
      <c r="F1" s="308"/>
      <c r="G1" s="308"/>
      <c r="H1" s="308"/>
      <c r="I1" s="308"/>
      <c r="J1" s="308"/>
      <c r="K1" s="308"/>
      <c r="L1" s="308"/>
      <c r="M1" s="308"/>
      <c r="N1" s="308"/>
      <c r="O1" s="308"/>
      <c r="P1" s="308"/>
      <c r="Q1" s="308"/>
      <c r="R1" s="308"/>
      <c r="S1" s="308"/>
      <c r="T1" s="308"/>
    </row>
    <row r="2" spans="1:21" x14ac:dyDescent="0.35">
      <c r="A2" t="s">
        <v>225</v>
      </c>
      <c r="D2" s="308"/>
      <c r="E2" s="308"/>
      <c r="F2" s="308"/>
      <c r="G2" s="308"/>
      <c r="H2" s="308"/>
      <c r="I2" s="308"/>
      <c r="J2" s="308"/>
      <c r="K2" s="308"/>
      <c r="L2" s="308"/>
      <c r="M2" s="308"/>
      <c r="N2" s="308"/>
      <c r="O2" s="308"/>
      <c r="P2" s="308"/>
      <c r="Q2" s="308"/>
      <c r="R2" s="308"/>
      <c r="S2" s="308"/>
      <c r="T2" s="308"/>
    </row>
    <row r="3" spans="1:21" x14ac:dyDescent="0.35">
      <c r="A3" s="309" t="s">
        <v>226</v>
      </c>
      <c r="B3" t="s">
        <v>527</v>
      </c>
      <c r="D3" s="308"/>
      <c r="E3" s="308"/>
      <c r="F3" s="308"/>
      <c r="G3" s="308"/>
      <c r="H3" s="308"/>
      <c r="I3" s="308"/>
      <c r="J3" s="308"/>
      <c r="K3" s="308"/>
      <c r="L3" s="308"/>
      <c r="M3" s="308"/>
      <c r="N3" s="308"/>
      <c r="O3" s="308"/>
      <c r="P3" s="308"/>
      <c r="Q3" s="308"/>
      <c r="R3" s="308"/>
      <c r="S3" s="308"/>
      <c r="T3" s="310" t="s">
        <v>170</v>
      </c>
      <c r="U3" t="s">
        <v>530</v>
      </c>
    </row>
    <row r="30" spans="2:21" x14ac:dyDescent="0.35">
      <c r="B30" t="s">
        <v>528</v>
      </c>
      <c r="U30" t="s">
        <v>531</v>
      </c>
    </row>
    <row r="57" spans="2:21" x14ac:dyDescent="0.35">
      <c r="U57" t="s">
        <v>532</v>
      </c>
    </row>
    <row r="58" spans="2:21" x14ac:dyDescent="0.35">
      <c r="B58" t="s">
        <v>529</v>
      </c>
    </row>
  </sheetData>
  <pageMargins left="0.7" right="0.7" top="0.75" bottom="0.75" header="0.3" footer="0.3"/>
  <pageSetup paperSize="9" scale="33" orientation="portrait" r:id="rId1"/>
  <colBreaks count="1" manualBreakCount="1">
    <brk id="18"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CC"/>
  </sheetPr>
  <dimension ref="A1:AC70"/>
  <sheetViews>
    <sheetView view="pageBreakPreview" zoomScale="60" zoomScaleNormal="80" workbookViewId="0">
      <selection activeCell="C39" sqref="C39"/>
    </sheetView>
  </sheetViews>
  <sheetFormatPr defaultColWidth="8.81640625" defaultRowHeight="14.5" x14ac:dyDescent="0.35"/>
  <cols>
    <col min="1" max="1" width="21.453125" customWidth="1"/>
    <col min="2" max="2" width="14.453125" customWidth="1"/>
    <col min="3" max="3" width="14.26953125" style="308" customWidth="1"/>
    <col min="4" max="4" width="14.1796875" style="308" customWidth="1"/>
    <col min="5" max="5" width="14.81640625" style="308" customWidth="1"/>
    <col min="6" max="6" width="11.81640625" style="308" customWidth="1"/>
    <col min="7" max="7" width="15.81640625" style="308" customWidth="1"/>
    <col min="8" max="8" width="13.453125" style="308" customWidth="1"/>
    <col min="9" max="9" width="10" style="308" customWidth="1"/>
    <col min="10" max="28" width="8.453125" style="308" customWidth="1"/>
  </cols>
  <sheetData>
    <row r="1" spans="1:29" ht="15" thickBot="1" x14ac:dyDescent="0.4"/>
    <row r="2" spans="1:29" ht="48.75" customHeight="1" thickBot="1" x14ac:dyDescent="0.4">
      <c r="A2" s="311" t="s">
        <v>227</v>
      </c>
      <c r="B2" s="332" t="s">
        <v>228</v>
      </c>
      <c r="C2" s="330" t="s">
        <v>229</v>
      </c>
      <c r="D2" s="312" t="s">
        <v>230</v>
      </c>
      <c r="E2" s="312" t="s">
        <v>231</v>
      </c>
      <c r="F2" s="337" t="s">
        <v>222</v>
      </c>
      <c r="G2" s="332" t="s">
        <v>232</v>
      </c>
      <c r="H2" s="341" t="s">
        <v>229</v>
      </c>
      <c r="I2" s="313" t="s">
        <v>222</v>
      </c>
      <c r="O2" s="314"/>
      <c r="P2" s="315"/>
      <c r="Q2" s="315"/>
      <c r="R2" s="316"/>
      <c r="S2" s="316"/>
      <c r="T2" s="316"/>
      <c r="U2" s="316"/>
      <c r="V2" s="316"/>
      <c r="W2" s="316"/>
      <c r="X2" s="316"/>
      <c r="Y2" s="315"/>
      <c r="Z2" s="315"/>
      <c r="AA2" s="316"/>
      <c r="AB2" s="316"/>
      <c r="AC2" s="316"/>
    </row>
    <row r="3" spans="1:29" x14ac:dyDescent="0.35">
      <c r="A3" s="317" t="s">
        <v>172</v>
      </c>
      <c r="B3" s="333"/>
      <c r="C3" s="331"/>
      <c r="D3" s="327"/>
      <c r="E3" s="327"/>
      <c r="F3" s="338"/>
      <c r="G3" s="342"/>
      <c r="H3" s="331"/>
      <c r="I3" s="327"/>
      <c r="O3" s="318"/>
      <c r="P3" s="319"/>
      <c r="Q3" s="320"/>
      <c r="R3" s="320"/>
      <c r="S3" s="320"/>
      <c r="T3" s="320"/>
      <c r="U3" s="320"/>
      <c r="V3" s="320"/>
      <c r="W3" s="320"/>
      <c r="X3" s="320"/>
      <c r="Y3" s="320"/>
      <c r="Z3" s="320"/>
      <c r="AA3" s="320"/>
      <c r="AB3" s="320"/>
      <c r="AC3" s="320"/>
    </row>
    <row r="4" spans="1:29" x14ac:dyDescent="0.35">
      <c r="A4" s="321" t="s">
        <v>233</v>
      </c>
      <c r="B4" s="334" t="s">
        <v>234</v>
      </c>
      <c r="C4" s="329"/>
      <c r="D4" s="328"/>
      <c r="E4" s="328"/>
      <c r="F4" s="339"/>
      <c r="G4" s="335"/>
      <c r="H4" s="329"/>
      <c r="I4" s="328"/>
      <c r="O4" s="318"/>
      <c r="P4" s="322"/>
      <c r="Q4" s="320"/>
      <c r="R4" s="320"/>
      <c r="S4" s="320"/>
      <c r="T4" s="320"/>
      <c r="U4" s="320"/>
      <c r="V4" s="320"/>
      <c r="W4" s="320"/>
      <c r="X4" s="320"/>
      <c r="Y4" s="320"/>
      <c r="Z4" s="320"/>
      <c r="AA4" s="320"/>
      <c r="AB4" s="320"/>
      <c r="AC4" s="320"/>
    </row>
    <row r="5" spans="1:29" ht="15.75" customHeight="1" x14ac:dyDescent="0.35">
      <c r="A5" s="323" t="s">
        <v>235</v>
      </c>
      <c r="B5" s="335"/>
      <c r="C5" s="329"/>
      <c r="D5" s="328"/>
      <c r="E5" s="328"/>
      <c r="F5" s="339"/>
      <c r="G5" s="335"/>
      <c r="H5" s="329"/>
      <c r="I5" s="328"/>
      <c r="O5" s="318"/>
      <c r="P5" s="320"/>
      <c r="Q5" s="320"/>
      <c r="R5" s="320"/>
      <c r="S5" s="320"/>
      <c r="T5" s="320"/>
      <c r="U5" s="320"/>
      <c r="V5" s="320"/>
      <c r="W5" s="320"/>
      <c r="X5" s="320"/>
      <c r="Y5" s="320"/>
      <c r="Z5" s="320"/>
      <c r="AA5" s="320"/>
      <c r="AB5" s="320"/>
      <c r="AC5" s="320"/>
    </row>
    <row r="6" spans="1:29" x14ac:dyDescent="0.35">
      <c r="A6" s="323" t="s">
        <v>236</v>
      </c>
      <c r="B6" s="335"/>
      <c r="C6" s="329"/>
      <c r="D6" s="328"/>
      <c r="E6" s="328"/>
      <c r="F6" s="339"/>
      <c r="G6" s="335"/>
      <c r="H6" s="329"/>
      <c r="I6" s="328"/>
      <c r="O6" s="318"/>
      <c r="P6" s="320"/>
      <c r="Q6" s="320"/>
      <c r="R6" s="320"/>
      <c r="S6" s="320"/>
      <c r="T6" s="320"/>
      <c r="U6" s="320"/>
      <c r="V6" s="320"/>
      <c r="W6" s="320"/>
      <c r="X6" s="320"/>
      <c r="Y6" s="320"/>
      <c r="Z6" s="320"/>
      <c r="AA6" s="320"/>
      <c r="AB6" s="320"/>
      <c r="AC6" s="320"/>
    </row>
    <row r="7" spans="1:29" x14ac:dyDescent="0.35">
      <c r="A7" s="323" t="s">
        <v>237</v>
      </c>
      <c r="B7" s="335"/>
      <c r="C7" s="329"/>
      <c r="D7" s="328"/>
      <c r="E7" s="328"/>
      <c r="F7" s="339"/>
      <c r="G7" s="335"/>
      <c r="H7" s="329"/>
      <c r="I7" s="328"/>
      <c r="O7" s="318"/>
      <c r="P7" s="320"/>
      <c r="Q7" s="320"/>
      <c r="R7" s="320"/>
      <c r="S7" s="320"/>
      <c r="T7" s="320"/>
      <c r="U7" s="320"/>
      <c r="V7" s="320"/>
      <c r="W7" s="320"/>
      <c r="X7" s="320"/>
      <c r="Y7" s="320"/>
      <c r="Z7" s="320"/>
      <c r="AA7" s="320"/>
      <c r="AB7" s="320"/>
      <c r="AC7" s="320"/>
    </row>
    <row r="8" spans="1:29" x14ac:dyDescent="0.35">
      <c r="A8" s="323" t="s">
        <v>238</v>
      </c>
      <c r="B8" s="335"/>
      <c r="C8" s="329"/>
      <c r="D8" s="328"/>
      <c r="E8" s="328"/>
      <c r="F8" s="339"/>
      <c r="G8" s="335"/>
      <c r="H8" s="329"/>
      <c r="I8" s="328"/>
      <c r="O8" s="318"/>
      <c r="P8" s="320"/>
      <c r="Q8" s="320"/>
      <c r="R8" s="320"/>
      <c r="S8" s="320"/>
      <c r="T8" s="320"/>
      <c r="U8" s="320"/>
      <c r="V8" s="320"/>
      <c r="W8" s="320"/>
      <c r="X8" s="320"/>
      <c r="Y8" s="320"/>
      <c r="Z8" s="320"/>
      <c r="AA8" s="320"/>
      <c r="AB8" s="320"/>
      <c r="AC8" s="320"/>
    </row>
    <row r="9" spans="1:29" x14ac:dyDescent="0.35">
      <c r="A9" s="323" t="s">
        <v>239</v>
      </c>
      <c r="B9" s="335"/>
      <c r="C9" s="329"/>
      <c r="D9" s="328"/>
      <c r="E9" s="328"/>
      <c r="F9" s="339"/>
      <c r="G9" s="335"/>
      <c r="H9" s="329"/>
      <c r="I9" s="328"/>
      <c r="O9" s="318"/>
      <c r="P9" s="320"/>
      <c r="Q9" s="320"/>
      <c r="R9" s="320"/>
      <c r="S9" s="320"/>
      <c r="T9" s="320"/>
      <c r="U9" s="320"/>
      <c r="V9" s="320"/>
      <c r="W9" s="320"/>
      <c r="X9" s="320"/>
      <c r="Y9" s="320"/>
      <c r="Z9" s="320"/>
      <c r="AA9" s="320"/>
      <c r="AB9" s="320"/>
      <c r="AC9" s="320"/>
    </row>
    <row r="10" spans="1:29" x14ac:dyDescent="0.35">
      <c r="A10" s="323" t="s">
        <v>240</v>
      </c>
      <c r="B10" s="335"/>
      <c r="C10" s="329"/>
      <c r="D10" s="328"/>
      <c r="E10" s="328"/>
      <c r="F10" s="339"/>
      <c r="G10" s="335"/>
      <c r="H10" s="329"/>
      <c r="I10" s="328"/>
      <c r="O10" s="318"/>
      <c r="P10" s="320"/>
      <c r="Q10" s="320"/>
      <c r="R10" s="320"/>
      <c r="S10" s="320"/>
      <c r="T10" s="320"/>
      <c r="U10" s="320"/>
      <c r="V10" s="320"/>
      <c r="W10" s="320"/>
      <c r="X10" s="320"/>
      <c r="Y10" s="320"/>
      <c r="Z10" s="320"/>
      <c r="AA10" s="320"/>
      <c r="AB10" s="320"/>
      <c r="AC10" s="320"/>
    </row>
    <row r="11" spans="1:29" x14ac:dyDescent="0.35">
      <c r="A11" s="323" t="s">
        <v>241</v>
      </c>
      <c r="B11" s="335"/>
      <c r="C11" s="329"/>
      <c r="D11" s="328"/>
      <c r="E11" s="328"/>
      <c r="F11" s="339"/>
      <c r="G11" s="335"/>
      <c r="H11" s="329"/>
      <c r="I11" s="328"/>
      <c r="O11" s="318"/>
      <c r="P11" s="320"/>
      <c r="Q11" s="320"/>
      <c r="R11" s="320"/>
      <c r="S11" s="320"/>
      <c r="T11" s="320"/>
      <c r="U11" s="320"/>
      <c r="V11" s="320"/>
      <c r="W11" s="320"/>
      <c r="X11" s="320"/>
      <c r="Y11" s="320"/>
      <c r="Z11" s="320"/>
      <c r="AA11" s="320"/>
      <c r="AB11" s="320"/>
      <c r="AC11" s="320"/>
    </row>
    <row r="12" spans="1:29" x14ac:dyDescent="0.35">
      <c r="A12" s="323" t="s">
        <v>242</v>
      </c>
      <c r="B12" s="335"/>
      <c r="C12" s="329"/>
      <c r="D12" s="328"/>
      <c r="E12" s="328"/>
      <c r="F12" s="339"/>
      <c r="G12" s="335"/>
      <c r="H12" s="329"/>
      <c r="I12" s="328"/>
      <c r="O12" s="318"/>
      <c r="P12" s="320"/>
      <c r="Q12" s="320"/>
      <c r="R12" s="320"/>
      <c r="S12" s="320"/>
      <c r="T12" s="320"/>
      <c r="U12" s="320"/>
      <c r="V12" s="320"/>
      <c r="W12" s="320"/>
      <c r="X12" s="320"/>
      <c r="Y12" s="320"/>
      <c r="Z12" s="320"/>
      <c r="AA12" s="320"/>
      <c r="AB12" s="320"/>
      <c r="AC12" s="320"/>
    </row>
    <row r="13" spans="1:29" x14ac:dyDescent="0.35">
      <c r="A13" s="323" t="s">
        <v>243</v>
      </c>
      <c r="B13" s="335"/>
      <c r="C13" s="329"/>
      <c r="D13" s="328"/>
      <c r="E13" s="328"/>
      <c r="F13" s="339"/>
      <c r="G13" s="335"/>
      <c r="H13" s="329"/>
      <c r="I13" s="328"/>
      <c r="O13" s="318"/>
      <c r="P13" s="320"/>
      <c r="Q13" s="320"/>
      <c r="R13" s="320"/>
      <c r="S13" s="320"/>
      <c r="T13" s="320"/>
      <c r="U13" s="320"/>
      <c r="V13" s="320"/>
      <c r="W13" s="320"/>
      <c r="X13" s="320"/>
      <c r="Y13" s="320"/>
      <c r="Z13" s="320"/>
      <c r="AA13" s="320"/>
      <c r="AB13" s="320"/>
      <c r="AC13" s="320"/>
    </row>
    <row r="14" spans="1:29" x14ac:dyDescent="0.35">
      <c r="A14" s="323" t="s">
        <v>244</v>
      </c>
      <c r="B14" s="335"/>
      <c r="C14" s="329"/>
      <c r="D14" s="328"/>
      <c r="E14" s="328"/>
      <c r="F14" s="339"/>
      <c r="G14" s="335"/>
      <c r="H14" s="329"/>
      <c r="I14" s="328"/>
      <c r="O14" s="318"/>
      <c r="P14" s="320"/>
      <c r="Q14" s="320"/>
      <c r="R14" s="320"/>
      <c r="S14" s="320"/>
      <c r="T14" s="320"/>
      <c r="U14" s="320"/>
      <c r="V14" s="320"/>
      <c r="W14" s="320"/>
      <c r="X14" s="320"/>
      <c r="Y14" s="320"/>
      <c r="Z14" s="320"/>
      <c r="AA14" s="320"/>
      <c r="AB14" s="320"/>
      <c r="AC14" s="320"/>
    </row>
    <row r="15" spans="1:29" x14ac:dyDescent="0.35">
      <c r="A15" s="323" t="s">
        <v>245</v>
      </c>
      <c r="B15" s="335"/>
      <c r="C15" s="329"/>
      <c r="D15" s="328"/>
      <c r="E15" s="328"/>
      <c r="F15" s="339"/>
      <c r="G15" s="335"/>
      <c r="H15" s="329"/>
      <c r="I15" s="328"/>
      <c r="O15" s="318"/>
      <c r="P15" s="320"/>
      <c r="Q15" s="320"/>
      <c r="R15" s="320"/>
      <c r="S15" s="320"/>
      <c r="T15" s="320"/>
      <c r="U15" s="320"/>
      <c r="V15" s="320"/>
      <c r="W15" s="320"/>
      <c r="X15" s="320"/>
      <c r="Y15" s="320"/>
      <c r="Z15" s="320"/>
      <c r="AA15" s="320"/>
      <c r="AB15" s="320"/>
      <c r="AC15" s="320"/>
    </row>
    <row r="16" spans="1:29" x14ac:dyDescent="0.35">
      <c r="A16" s="323" t="s">
        <v>246</v>
      </c>
      <c r="B16" s="335"/>
      <c r="C16" s="329"/>
      <c r="D16" s="328"/>
      <c r="E16" s="328"/>
      <c r="F16" s="339"/>
      <c r="G16" s="335"/>
      <c r="H16" s="329"/>
      <c r="I16" s="328"/>
      <c r="O16" s="318"/>
      <c r="P16" s="320"/>
      <c r="Q16" s="320"/>
      <c r="R16" s="320"/>
      <c r="S16" s="320"/>
      <c r="T16" s="320"/>
      <c r="U16" s="320"/>
      <c r="V16" s="320"/>
      <c r="W16" s="320"/>
      <c r="X16" s="320"/>
      <c r="Y16" s="320"/>
      <c r="Z16" s="320"/>
      <c r="AA16" s="320"/>
      <c r="AB16" s="320"/>
      <c r="AC16" s="320"/>
    </row>
    <row r="17" spans="1:29" x14ac:dyDescent="0.35">
      <c r="A17" s="323" t="s">
        <v>247</v>
      </c>
      <c r="B17" s="335"/>
      <c r="C17" s="329"/>
      <c r="D17" s="328"/>
      <c r="E17" s="328"/>
      <c r="F17" s="339"/>
      <c r="G17" s="335"/>
      <c r="H17" s="329"/>
      <c r="I17" s="328"/>
      <c r="O17" s="318"/>
      <c r="P17" s="320"/>
      <c r="Q17" s="320"/>
      <c r="R17" s="320"/>
      <c r="S17" s="320"/>
      <c r="T17" s="320"/>
      <c r="U17" s="320"/>
      <c r="V17" s="320"/>
      <c r="W17" s="320"/>
      <c r="X17" s="320"/>
      <c r="Y17" s="320"/>
      <c r="Z17" s="320"/>
      <c r="AA17" s="320"/>
      <c r="AB17" s="320"/>
      <c r="AC17" s="320"/>
    </row>
    <row r="18" spans="1:29" x14ac:dyDescent="0.35">
      <c r="A18" s="323" t="s">
        <v>248</v>
      </c>
      <c r="B18" s="335"/>
      <c r="C18" s="329"/>
      <c r="D18" s="328"/>
      <c r="E18" s="328"/>
      <c r="F18" s="339"/>
      <c r="G18" s="335"/>
      <c r="H18" s="329"/>
      <c r="I18" s="328"/>
      <c r="O18" s="318"/>
      <c r="P18" s="320"/>
      <c r="Q18" s="320"/>
      <c r="R18" s="320"/>
      <c r="S18" s="320"/>
      <c r="T18" s="320"/>
      <c r="U18" s="320"/>
      <c r="V18" s="320"/>
      <c r="W18" s="320"/>
      <c r="X18" s="320"/>
      <c r="Y18" s="320"/>
      <c r="Z18" s="320"/>
      <c r="AA18" s="320"/>
      <c r="AB18" s="320"/>
      <c r="AC18" s="320"/>
    </row>
    <row r="19" spans="1:29" x14ac:dyDescent="0.35">
      <c r="A19" s="323" t="s">
        <v>249</v>
      </c>
      <c r="B19" s="335"/>
      <c r="C19" s="329"/>
      <c r="D19" s="328"/>
      <c r="E19" s="328"/>
      <c r="F19" s="339"/>
      <c r="G19" s="335"/>
      <c r="H19" s="329"/>
      <c r="I19" s="328"/>
      <c r="O19" s="318"/>
      <c r="P19" s="320"/>
      <c r="Q19" s="320"/>
      <c r="R19" s="320"/>
      <c r="S19" s="320"/>
      <c r="T19" s="320"/>
      <c r="U19" s="320"/>
      <c r="V19" s="320"/>
      <c r="W19" s="320"/>
      <c r="X19" s="320"/>
      <c r="Y19" s="320"/>
      <c r="Z19" s="320"/>
      <c r="AA19" s="320"/>
      <c r="AB19" s="320"/>
      <c r="AC19" s="320"/>
    </row>
    <row r="20" spans="1:29" x14ac:dyDescent="0.35">
      <c r="A20" s="323" t="s">
        <v>250</v>
      </c>
      <c r="B20" s="335"/>
      <c r="C20" s="329"/>
      <c r="D20" s="328"/>
      <c r="E20" s="328"/>
      <c r="F20" s="339"/>
      <c r="G20" s="335"/>
      <c r="H20" s="329"/>
      <c r="I20" s="328"/>
      <c r="O20" s="318"/>
      <c r="P20" s="320"/>
      <c r="Q20" s="320"/>
      <c r="R20" s="320"/>
      <c r="S20" s="320"/>
      <c r="T20" s="320"/>
      <c r="U20" s="320"/>
      <c r="V20" s="320"/>
      <c r="W20" s="320"/>
      <c r="X20" s="320"/>
      <c r="Y20" s="320"/>
      <c r="Z20" s="320"/>
      <c r="AA20" s="320"/>
      <c r="AB20" s="320"/>
      <c r="AC20" s="320"/>
    </row>
    <row r="21" spans="1:29" x14ac:dyDescent="0.35">
      <c r="A21" s="323" t="s">
        <v>251</v>
      </c>
      <c r="B21" s="335"/>
      <c r="C21" s="329"/>
      <c r="D21" s="328"/>
      <c r="E21" s="328"/>
      <c r="F21" s="339"/>
      <c r="G21" s="335"/>
      <c r="H21" s="329"/>
      <c r="I21" s="328"/>
      <c r="O21" s="318"/>
      <c r="P21" s="320"/>
      <c r="Q21" s="320"/>
      <c r="R21" s="320"/>
      <c r="S21" s="320"/>
      <c r="T21" s="320"/>
      <c r="U21" s="320"/>
      <c r="V21" s="320"/>
      <c r="W21" s="320"/>
      <c r="X21" s="320"/>
      <c r="Y21" s="320"/>
      <c r="Z21" s="320"/>
      <c r="AA21" s="320"/>
      <c r="AB21" s="320"/>
      <c r="AC21" s="320"/>
    </row>
    <row r="22" spans="1:29" x14ac:dyDescent="0.35">
      <c r="A22" s="323" t="s">
        <v>252</v>
      </c>
      <c r="B22" s="335"/>
      <c r="C22" s="329"/>
      <c r="D22" s="328"/>
      <c r="E22" s="328"/>
      <c r="F22" s="339"/>
      <c r="G22" s="335"/>
      <c r="H22" s="329"/>
      <c r="I22" s="328"/>
      <c r="O22" s="318"/>
      <c r="P22" s="320"/>
      <c r="Q22" s="320"/>
      <c r="R22" s="320"/>
      <c r="S22" s="320"/>
      <c r="T22" s="320"/>
      <c r="U22" s="320"/>
      <c r="V22" s="320"/>
      <c r="W22" s="320"/>
      <c r="X22" s="320"/>
      <c r="Y22" s="320"/>
      <c r="Z22" s="320"/>
      <c r="AA22" s="320"/>
      <c r="AB22" s="320"/>
      <c r="AC22" s="320"/>
    </row>
    <row r="23" spans="1:29" x14ac:dyDescent="0.35">
      <c r="A23" s="323" t="s">
        <v>253</v>
      </c>
      <c r="B23" s="335"/>
      <c r="C23" s="329"/>
      <c r="D23" s="328"/>
      <c r="E23" s="328"/>
      <c r="F23" s="339"/>
      <c r="G23" s="335"/>
      <c r="H23" s="329"/>
      <c r="I23" s="328"/>
      <c r="O23" s="318"/>
      <c r="P23" s="320"/>
      <c r="Q23" s="320"/>
      <c r="R23" s="320"/>
      <c r="S23" s="320"/>
      <c r="T23" s="320"/>
      <c r="U23" s="320"/>
      <c r="V23" s="320"/>
      <c r="W23" s="320"/>
      <c r="X23" s="320"/>
      <c r="Y23" s="320"/>
      <c r="Z23" s="320"/>
      <c r="AA23" s="320"/>
      <c r="AB23" s="320"/>
      <c r="AC23" s="320"/>
    </row>
    <row r="24" spans="1:29" x14ac:dyDescent="0.35">
      <c r="A24" s="323" t="s">
        <v>254</v>
      </c>
      <c r="B24" s="335"/>
      <c r="C24" s="329"/>
      <c r="D24" s="328"/>
      <c r="E24" s="328"/>
      <c r="F24" s="339"/>
      <c r="G24" s="335"/>
      <c r="H24" s="329"/>
      <c r="I24" s="328"/>
      <c r="O24" s="318"/>
      <c r="P24" s="320"/>
      <c r="Q24" s="320"/>
      <c r="R24" s="320"/>
      <c r="S24" s="320"/>
      <c r="T24" s="320"/>
      <c r="U24" s="320"/>
      <c r="V24" s="320"/>
      <c r="W24" s="320"/>
      <c r="X24" s="320"/>
      <c r="Y24" s="320"/>
      <c r="Z24" s="320"/>
      <c r="AA24" s="320"/>
      <c r="AB24" s="320"/>
      <c r="AC24" s="320"/>
    </row>
    <row r="25" spans="1:29" x14ac:dyDescent="0.35">
      <c r="A25" s="323" t="s">
        <v>255</v>
      </c>
      <c r="B25" s="335"/>
      <c r="C25" s="329"/>
      <c r="D25" s="328"/>
      <c r="E25" s="328"/>
      <c r="F25" s="339"/>
      <c r="G25" s="335"/>
      <c r="H25" s="329"/>
      <c r="I25" s="328"/>
      <c r="O25" s="318"/>
      <c r="P25" s="320"/>
      <c r="Q25" s="320"/>
      <c r="R25" s="320"/>
      <c r="S25" s="320"/>
      <c r="T25" s="320"/>
      <c r="U25" s="320"/>
      <c r="V25" s="320"/>
      <c r="W25" s="320"/>
      <c r="X25" s="320"/>
      <c r="Y25" s="320"/>
      <c r="Z25" s="320"/>
      <c r="AA25" s="320"/>
      <c r="AB25" s="320"/>
      <c r="AC25" s="320"/>
    </row>
    <row r="26" spans="1:29" x14ac:dyDescent="0.35">
      <c r="A26" s="323" t="s">
        <v>256</v>
      </c>
      <c r="B26" s="335"/>
      <c r="C26" s="329"/>
      <c r="D26" s="328"/>
      <c r="E26" s="328"/>
      <c r="F26" s="339"/>
      <c r="G26" s="335"/>
      <c r="H26" s="329"/>
      <c r="I26" s="328"/>
      <c r="O26" s="318"/>
      <c r="P26" s="320"/>
      <c r="Q26" s="320"/>
      <c r="R26" s="320"/>
      <c r="S26" s="320"/>
      <c r="T26" s="320"/>
      <c r="U26" s="320"/>
      <c r="V26" s="320"/>
      <c r="W26" s="320"/>
      <c r="X26" s="320"/>
      <c r="Y26" s="320"/>
      <c r="Z26" s="320"/>
      <c r="AA26" s="320"/>
      <c r="AB26" s="320"/>
      <c r="AC26" s="320"/>
    </row>
    <row r="27" spans="1:29" x14ac:dyDescent="0.35">
      <c r="A27" s="323" t="s">
        <v>257</v>
      </c>
      <c r="B27" s="335"/>
      <c r="C27" s="329"/>
      <c r="D27" s="328"/>
      <c r="E27" s="328"/>
      <c r="F27" s="339"/>
      <c r="G27" s="335"/>
      <c r="H27" s="329"/>
      <c r="I27" s="328"/>
      <c r="O27" s="318"/>
      <c r="P27" s="320"/>
      <c r="Q27" s="320"/>
      <c r="R27" s="320"/>
      <c r="S27" s="320"/>
      <c r="T27" s="320"/>
      <c r="U27" s="320"/>
      <c r="V27" s="320"/>
      <c r="W27" s="320"/>
      <c r="X27" s="320"/>
      <c r="Y27" s="320"/>
      <c r="Z27" s="320"/>
      <c r="AA27" s="320"/>
      <c r="AB27" s="320"/>
      <c r="AC27" s="320"/>
    </row>
    <row r="28" spans="1:29" x14ac:dyDescent="0.35">
      <c r="A28" s="323" t="s">
        <v>258</v>
      </c>
      <c r="B28" s="335"/>
      <c r="C28" s="329"/>
      <c r="D28" s="328"/>
      <c r="E28" s="328"/>
      <c r="F28" s="339"/>
      <c r="G28" s="335"/>
      <c r="H28" s="329"/>
      <c r="I28" s="328"/>
      <c r="O28" s="318"/>
      <c r="P28" s="320"/>
      <c r="Q28" s="320"/>
      <c r="R28" s="320"/>
      <c r="S28" s="320"/>
      <c r="T28" s="320"/>
      <c r="U28" s="320"/>
      <c r="V28" s="320"/>
      <c r="W28" s="320"/>
      <c r="X28" s="320"/>
      <c r="Y28" s="320"/>
      <c r="Z28" s="320"/>
      <c r="AA28" s="320"/>
      <c r="AB28" s="320"/>
      <c r="AC28" s="320"/>
    </row>
    <row r="29" spans="1:29" x14ac:dyDescent="0.35">
      <c r="A29" s="323" t="s">
        <v>259</v>
      </c>
      <c r="B29" s="335"/>
      <c r="C29" s="329"/>
      <c r="D29" s="328"/>
      <c r="E29" s="328"/>
      <c r="F29" s="339"/>
      <c r="G29" s="335"/>
      <c r="H29" s="329"/>
      <c r="I29" s="328"/>
      <c r="O29" s="318"/>
      <c r="P29" s="320"/>
      <c r="Q29" s="320"/>
      <c r="R29" s="320"/>
      <c r="S29" s="320"/>
      <c r="T29" s="320"/>
      <c r="U29" s="320"/>
      <c r="V29" s="320"/>
      <c r="W29" s="320"/>
      <c r="X29" s="320"/>
      <c r="Y29" s="320"/>
      <c r="Z29" s="320"/>
      <c r="AA29" s="320"/>
      <c r="AB29" s="320"/>
      <c r="AC29" s="320"/>
    </row>
    <row r="30" spans="1:29" x14ac:dyDescent="0.35">
      <c r="A30" s="323" t="s">
        <v>260</v>
      </c>
      <c r="B30" s="335"/>
      <c r="C30" s="329"/>
      <c r="D30" s="328"/>
      <c r="E30" s="328"/>
      <c r="F30" s="339"/>
      <c r="G30" s="335"/>
      <c r="H30" s="329"/>
      <c r="I30" s="328"/>
      <c r="O30" s="318"/>
      <c r="P30" s="320"/>
      <c r="Q30" s="320"/>
      <c r="R30" s="320"/>
      <c r="S30" s="320"/>
      <c r="T30" s="320"/>
      <c r="U30" s="320"/>
      <c r="V30" s="320"/>
      <c r="W30" s="320"/>
      <c r="X30" s="320"/>
      <c r="Y30" s="320"/>
      <c r="Z30" s="320"/>
      <c r="AA30" s="320"/>
      <c r="AB30" s="320"/>
      <c r="AC30" s="320"/>
    </row>
    <row r="31" spans="1:29" x14ac:dyDescent="0.35">
      <c r="A31" s="323" t="s">
        <v>261</v>
      </c>
      <c r="B31" s="335"/>
      <c r="C31" s="329"/>
      <c r="D31" s="328"/>
      <c r="E31" s="328"/>
      <c r="F31" s="339"/>
      <c r="G31" s="335"/>
      <c r="H31" s="329"/>
      <c r="I31" s="328"/>
      <c r="O31" s="318"/>
      <c r="P31" s="320"/>
      <c r="Q31" s="320"/>
      <c r="R31" s="320"/>
      <c r="S31" s="320"/>
      <c r="T31" s="320"/>
      <c r="U31" s="320"/>
      <c r="V31" s="320"/>
      <c r="W31" s="320"/>
      <c r="X31" s="320"/>
      <c r="Y31" s="320"/>
      <c r="Z31" s="320"/>
      <c r="AA31" s="320"/>
      <c r="AB31" s="320"/>
      <c r="AC31" s="320"/>
    </row>
    <row r="32" spans="1:29" x14ac:dyDescent="0.35">
      <c r="A32" s="323" t="s">
        <v>262</v>
      </c>
      <c r="B32" s="335"/>
      <c r="C32" s="329"/>
      <c r="D32" s="328"/>
      <c r="E32" s="328"/>
      <c r="F32" s="339"/>
      <c r="G32" s="335"/>
      <c r="H32" s="329"/>
      <c r="I32" s="328"/>
      <c r="O32" s="318"/>
      <c r="P32" s="320"/>
      <c r="Q32" s="320"/>
      <c r="R32" s="320"/>
      <c r="S32" s="320"/>
      <c r="T32" s="320"/>
      <c r="U32" s="320"/>
      <c r="V32" s="320"/>
      <c r="W32" s="320"/>
      <c r="X32" s="320"/>
      <c r="Y32" s="320"/>
      <c r="Z32" s="320"/>
      <c r="AA32" s="320"/>
      <c r="AB32" s="320"/>
      <c r="AC32" s="320"/>
    </row>
    <row r="33" spans="1:29" x14ac:dyDescent="0.35">
      <c r="A33" s="323" t="s">
        <v>263</v>
      </c>
      <c r="B33" s="335"/>
      <c r="C33" s="329"/>
      <c r="D33" s="328"/>
      <c r="E33" s="328"/>
      <c r="F33" s="339"/>
      <c r="G33" s="335"/>
      <c r="H33" s="329"/>
      <c r="I33" s="328"/>
      <c r="O33" s="318"/>
      <c r="P33" s="320"/>
      <c r="Q33" s="320"/>
      <c r="R33" s="320"/>
      <c r="S33" s="320"/>
      <c r="T33" s="320"/>
      <c r="U33" s="320"/>
      <c r="V33" s="320"/>
      <c r="W33" s="320"/>
      <c r="X33" s="320"/>
      <c r="Y33" s="320"/>
      <c r="Z33" s="320"/>
      <c r="AA33" s="320"/>
      <c r="AB33" s="320"/>
      <c r="AC33" s="320"/>
    </row>
    <row r="34" spans="1:29" ht="15" thickBot="1" x14ac:dyDescent="0.4">
      <c r="A34" s="324" t="s">
        <v>264</v>
      </c>
      <c r="B34" s="336"/>
      <c r="C34" s="325"/>
      <c r="D34" s="259"/>
      <c r="E34" s="259"/>
      <c r="F34" s="340"/>
      <c r="G34" s="336"/>
      <c r="H34" s="325"/>
      <c r="I34" s="259"/>
      <c r="O34" s="318"/>
      <c r="P34" s="319"/>
      <c r="Q34" s="319"/>
      <c r="R34" s="319"/>
      <c r="S34" s="319"/>
      <c r="T34" s="319"/>
      <c r="U34" s="319"/>
      <c r="V34" s="319"/>
      <c r="W34" s="319"/>
      <c r="X34" s="319"/>
      <c r="Y34" s="319"/>
      <c r="Z34" s="319"/>
      <c r="AA34" s="319"/>
      <c r="AB34" s="319"/>
      <c r="AC34" s="319"/>
    </row>
    <row r="37" spans="1:29" ht="15" thickBot="1" x14ac:dyDescent="0.4"/>
    <row r="38" spans="1:29" ht="44" thickBot="1" x14ac:dyDescent="0.4">
      <c r="A38" s="311" t="s">
        <v>265</v>
      </c>
      <c r="B38" s="332" t="s">
        <v>228</v>
      </c>
      <c r="C38" s="330" t="s">
        <v>229</v>
      </c>
      <c r="D38" s="312" t="s">
        <v>230</v>
      </c>
      <c r="E38" s="312" t="s">
        <v>231</v>
      </c>
      <c r="F38" s="337" t="s">
        <v>222</v>
      </c>
      <c r="G38" s="332" t="s">
        <v>232</v>
      </c>
      <c r="H38" s="341" t="s">
        <v>229</v>
      </c>
      <c r="I38" s="313" t="s">
        <v>222</v>
      </c>
    </row>
    <row r="39" spans="1:29" x14ac:dyDescent="0.35">
      <c r="A39" s="317" t="s">
        <v>172</v>
      </c>
      <c r="B39" s="333"/>
      <c r="C39" s="331"/>
      <c r="D39" s="327"/>
      <c r="E39" s="327"/>
      <c r="F39" s="338"/>
      <c r="G39" s="342"/>
      <c r="H39" s="331"/>
      <c r="I39" s="327"/>
    </row>
    <row r="40" spans="1:29" x14ac:dyDescent="0.35">
      <c r="A40" s="321" t="s">
        <v>233</v>
      </c>
      <c r="B40" s="334" t="s">
        <v>234</v>
      </c>
      <c r="C40" s="329"/>
      <c r="D40" s="328"/>
      <c r="E40" s="328"/>
      <c r="F40" s="339"/>
      <c r="G40" s="335"/>
      <c r="H40" s="329"/>
      <c r="I40" s="328"/>
    </row>
    <row r="41" spans="1:29" x14ac:dyDescent="0.35">
      <c r="A41" s="323" t="s">
        <v>235</v>
      </c>
      <c r="B41" s="335"/>
      <c r="C41" s="329"/>
      <c r="D41" s="328"/>
      <c r="E41" s="328"/>
      <c r="F41" s="339"/>
      <c r="G41" s="335"/>
      <c r="H41" s="329"/>
      <c r="I41" s="328"/>
    </row>
    <row r="42" spans="1:29" x14ac:dyDescent="0.35">
      <c r="A42" s="323" t="s">
        <v>236</v>
      </c>
      <c r="B42" s="335"/>
      <c r="C42" s="329"/>
      <c r="D42" s="328"/>
      <c r="E42" s="328"/>
      <c r="F42" s="339"/>
      <c r="G42" s="335"/>
      <c r="H42" s="329"/>
      <c r="I42" s="328"/>
    </row>
    <row r="43" spans="1:29" x14ac:dyDescent="0.35">
      <c r="A43" s="323" t="s">
        <v>237</v>
      </c>
      <c r="B43" s="335"/>
      <c r="C43" s="329"/>
      <c r="D43" s="328"/>
      <c r="E43" s="328"/>
      <c r="F43" s="339"/>
      <c r="G43" s="335"/>
      <c r="H43" s="329"/>
      <c r="I43" s="328"/>
    </row>
    <row r="44" spans="1:29" x14ac:dyDescent="0.35">
      <c r="A44" s="323" t="s">
        <v>238</v>
      </c>
      <c r="B44" s="335"/>
      <c r="C44" s="329"/>
      <c r="D44" s="328"/>
      <c r="E44" s="328"/>
      <c r="F44" s="339"/>
      <c r="G44" s="335"/>
      <c r="H44" s="329"/>
      <c r="I44" s="328"/>
    </row>
    <row r="45" spans="1:29" x14ac:dyDescent="0.35">
      <c r="A45" s="323" t="s">
        <v>239</v>
      </c>
      <c r="B45" s="335"/>
      <c r="C45" s="329"/>
      <c r="D45" s="328"/>
      <c r="E45" s="328"/>
      <c r="F45" s="339"/>
      <c r="G45" s="335"/>
      <c r="H45" s="329"/>
      <c r="I45" s="328"/>
    </row>
    <row r="46" spans="1:29" x14ac:dyDescent="0.35">
      <c r="A46" s="323" t="s">
        <v>240</v>
      </c>
      <c r="B46" s="335"/>
      <c r="C46" s="329"/>
      <c r="D46" s="328"/>
      <c r="E46" s="328"/>
      <c r="F46" s="339"/>
      <c r="G46" s="335"/>
      <c r="H46" s="329"/>
      <c r="I46" s="328"/>
    </row>
    <row r="47" spans="1:29" x14ac:dyDescent="0.35">
      <c r="A47" s="323" t="s">
        <v>241</v>
      </c>
      <c r="B47" s="335"/>
      <c r="C47" s="329"/>
      <c r="D47" s="328"/>
      <c r="E47" s="328"/>
      <c r="F47" s="339"/>
      <c r="G47" s="335"/>
      <c r="H47" s="329"/>
      <c r="I47" s="328"/>
    </row>
    <row r="48" spans="1:29" x14ac:dyDescent="0.35">
      <c r="A48" s="323" t="s">
        <v>242</v>
      </c>
      <c r="B48" s="335"/>
      <c r="C48" s="329"/>
      <c r="D48" s="328"/>
      <c r="E48" s="328"/>
      <c r="F48" s="339"/>
      <c r="G48" s="335"/>
      <c r="H48" s="329"/>
      <c r="I48" s="328"/>
    </row>
    <row r="49" spans="1:9" x14ac:dyDescent="0.35">
      <c r="A49" s="323" t="s">
        <v>243</v>
      </c>
      <c r="B49" s="335"/>
      <c r="C49" s="329"/>
      <c r="D49" s="328"/>
      <c r="E49" s="328"/>
      <c r="F49" s="339"/>
      <c r="G49" s="335"/>
      <c r="H49" s="329"/>
      <c r="I49" s="328"/>
    </row>
    <row r="50" spans="1:9" x14ac:dyDescent="0.35">
      <c r="A50" s="323" t="s">
        <v>244</v>
      </c>
      <c r="B50" s="335"/>
      <c r="C50" s="329"/>
      <c r="D50" s="328"/>
      <c r="E50" s="328"/>
      <c r="F50" s="339"/>
      <c r="G50" s="335"/>
      <c r="H50" s="329"/>
      <c r="I50" s="328"/>
    </row>
    <row r="51" spans="1:9" x14ac:dyDescent="0.35">
      <c r="A51" s="323" t="s">
        <v>245</v>
      </c>
      <c r="B51" s="335"/>
      <c r="C51" s="329"/>
      <c r="D51" s="328"/>
      <c r="E51" s="328"/>
      <c r="F51" s="339"/>
      <c r="G51" s="335"/>
      <c r="H51" s="329"/>
      <c r="I51" s="328"/>
    </row>
    <row r="52" spans="1:9" x14ac:dyDescent="0.35">
      <c r="A52" s="323" t="s">
        <v>246</v>
      </c>
      <c r="B52" s="335"/>
      <c r="C52" s="329"/>
      <c r="D52" s="328"/>
      <c r="E52" s="328"/>
      <c r="F52" s="339"/>
      <c r="G52" s="335"/>
      <c r="H52" s="329"/>
      <c r="I52" s="328"/>
    </row>
    <row r="53" spans="1:9" x14ac:dyDescent="0.35">
      <c r="A53" s="323" t="s">
        <v>247</v>
      </c>
      <c r="B53" s="335"/>
      <c r="C53" s="329"/>
      <c r="D53" s="328"/>
      <c r="E53" s="328"/>
      <c r="F53" s="339"/>
      <c r="G53" s="335"/>
      <c r="H53" s="329"/>
      <c r="I53" s="328"/>
    </row>
    <row r="54" spans="1:9" x14ac:dyDescent="0.35">
      <c r="A54" s="323" t="s">
        <v>248</v>
      </c>
      <c r="B54" s="335"/>
      <c r="C54" s="329"/>
      <c r="D54" s="328"/>
      <c r="E54" s="328"/>
      <c r="F54" s="339"/>
      <c r="G54" s="335"/>
      <c r="H54" s="329"/>
      <c r="I54" s="328"/>
    </row>
    <row r="55" spans="1:9" x14ac:dyDescent="0.35">
      <c r="A55" s="323" t="s">
        <v>249</v>
      </c>
      <c r="B55" s="335"/>
      <c r="C55" s="329"/>
      <c r="D55" s="328"/>
      <c r="E55" s="328"/>
      <c r="F55" s="339"/>
      <c r="G55" s="335"/>
      <c r="H55" s="329"/>
      <c r="I55" s="328"/>
    </row>
    <row r="56" spans="1:9" x14ac:dyDescent="0.35">
      <c r="A56" s="323" t="s">
        <v>250</v>
      </c>
      <c r="B56" s="335"/>
      <c r="C56" s="329"/>
      <c r="D56" s="328"/>
      <c r="E56" s="328"/>
      <c r="F56" s="339"/>
      <c r="G56" s="335"/>
      <c r="H56" s="329"/>
      <c r="I56" s="328"/>
    </row>
    <row r="57" spans="1:9" x14ac:dyDescent="0.35">
      <c r="A57" s="323" t="s">
        <v>251</v>
      </c>
      <c r="B57" s="335"/>
      <c r="C57" s="329"/>
      <c r="D57" s="328"/>
      <c r="E57" s="328"/>
      <c r="F57" s="339"/>
      <c r="G57" s="335"/>
      <c r="H57" s="329"/>
      <c r="I57" s="328"/>
    </row>
    <row r="58" spans="1:9" x14ac:dyDescent="0.35">
      <c r="A58" s="323" t="s">
        <v>252</v>
      </c>
      <c r="B58" s="335"/>
      <c r="C58" s="329"/>
      <c r="D58" s="328"/>
      <c r="E58" s="328"/>
      <c r="F58" s="339"/>
      <c r="G58" s="335"/>
      <c r="H58" s="329"/>
      <c r="I58" s="328"/>
    </row>
    <row r="59" spans="1:9" x14ac:dyDescent="0.35">
      <c r="A59" s="323" t="s">
        <v>253</v>
      </c>
      <c r="B59" s="335"/>
      <c r="C59" s="329"/>
      <c r="D59" s="328"/>
      <c r="E59" s="328"/>
      <c r="F59" s="339"/>
      <c r="G59" s="335"/>
      <c r="H59" s="329"/>
      <c r="I59" s="328"/>
    </row>
    <row r="60" spans="1:9" x14ac:dyDescent="0.35">
      <c r="A60" s="323" t="s">
        <v>254</v>
      </c>
      <c r="B60" s="335"/>
      <c r="C60" s="329"/>
      <c r="D60" s="328"/>
      <c r="E60" s="328"/>
      <c r="F60" s="339"/>
      <c r="G60" s="335"/>
      <c r="H60" s="329"/>
      <c r="I60" s="328"/>
    </row>
    <row r="61" spans="1:9" x14ac:dyDescent="0.35">
      <c r="A61" s="323" t="s">
        <v>255</v>
      </c>
      <c r="B61" s="335"/>
      <c r="C61" s="329"/>
      <c r="D61" s="328"/>
      <c r="E61" s="328"/>
      <c r="F61" s="339"/>
      <c r="G61" s="335"/>
      <c r="H61" s="329"/>
      <c r="I61" s="328"/>
    </row>
    <row r="62" spans="1:9" x14ac:dyDescent="0.35">
      <c r="A62" s="323" t="s">
        <v>256</v>
      </c>
      <c r="B62" s="335"/>
      <c r="C62" s="329"/>
      <c r="D62" s="328"/>
      <c r="E62" s="328"/>
      <c r="F62" s="339"/>
      <c r="G62" s="335"/>
      <c r="H62" s="329"/>
      <c r="I62" s="328"/>
    </row>
    <row r="63" spans="1:9" x14ac:dyDescent="0.35">
      <c r="A63" s="323" t="s">
        <v>257</v>
      </c>
      <c r="B63" s="335"/>
      <c r="C63" s="329"/>
      <c r="D63" s="328"/>
      <c r="E63" s="328"/>
      <c r="F63" s="339"/>
      <c r="G63" s="335"/>
      <c r="H63" s="329"/>
      <c r="I63" s="328"/>
    </row>
    <row r="64" spans="1:9" x14ac:dyDescent="0.35">
      <c r="A64" s="323" t="s">
        <v>258</v>
      </c>
      <c r="B64" s="335"/>
      <c r="C64" s="329"/>
      <c r="D64" s="328"/>
      <c r="E64" s="328"/>
      <c r="F64" s="339"/>
      <c r="G64" s="335"/>
      <c r="H64" s="329"/>
      <c r="I64" s="328"/>
    </row>
    <row r="65" spans="1:9" x14ac:dyDescent="0.35">
      <c r="A65" s="323" t="s">
        <v>259</v>
      </c>
      <c r="B65" s="335"/>
      <c r="C65" s="329"/>
      <c r="D65" s="328"/>
      <c r="E65" s="328"/>
      <c r="F65" s="339"/>
      <c r="G65" s="335"/>
      <c r="H65" s="329"/>
      <c r="I65" s="328"/>
    </row>
    <row r="66" spans="1:9" x14ac:dyDescent="0.35">
      <c r="A66" s="323" t="s">
        <v>260</v>
      </c>
      <c r="B66" s="335"/>
      <c r="C66" s="329"/>
      <c r="D66" s="328"/>
      <c r="E66" s="328"/>
      <c r="F66" s="339"/>
      <c r="G66" s="335"/>
      <c r="H66" s="329"/>
      <c r="I66" s="328"/>
    </row>
    <row r="67" spans="1:9" x14ac:dyDescent="0.35">
      <c r="A67" s="323" t="s">
        <v>261</v>
      </c>
      <c r="B67" s="335"/>
      <c r="C67" s="329"/>
      <c r="D67" s="328"/>
      <c r="E67" s="328"/>
      <c r="F67" s="339"/>
      <c r="G67" s="335"/>
      <c r="H67" s="329"/>
      <c r="I67" s="328"/>
    </row>
    <row r="68" spans="1:9" x14ac:dyDescent="0.35">
      <c r="A68" s="323" t="s">
        <v>262</v>
      </c>
      <c r="B68" s="335"/>
      <c r="C68" s="329"/>
      <c r="D68" s="328"/>
      <c r="E68" s="328"/>
      <c r="F68" s="339"/>
      <c r="G68" s="335"/>
      <c r="H68" s="329"/>
      <c r="I68" s="328"/>
    </row>
    <row r="69" spans="1:9" x14ac:dyDescent="0.35">
      <c r="A69" s="323" t="s">
        <v>263</v>
      </c>
      <c r="B69" s="335"/>
      <c r="C69" s="329"/>
      <c r="D69" s="328"/>
      <c r="E69" s="328"/>
      <c r="F69" s="339"/>
      <c r="G69" s="335"/>
      <c r="H69" s="329"/>
      <c r="I69" s="328"/>
    </row>
    <row r="70" spans="1:9" ht="15" thickBot="1" x14ac:dyDescent="0.4">
      <c r="A70" s="324" t="s">
        <v>264</v>
      </c>
      <c r="B70" s="336"/>
      <c r="C70" s="325"/>
      <c r="D70" s="259"/>
      <c r="E70" s="259"/>
      <c r="F70" s="340"/>
      <c r="G70" s="336"/>
      <c r="H70" s="325"/>
      <c r="I70" s="259"/>
    </row>
  </sheetData>
  <pageMargins left="0.7" right="0.7" top="0.75" bottom="0.75" header="0.3" footer="0.3"/>
  <pageSetup paperSize="9" scale="67"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CC"/>
  </sheetPr>
  <dimension ref="A1:AC70"/>
  <sheetViews>
    <sheetView view="pageBreakPreview" zoomScale="60" zoomScaleNormal="100" workbookViewId="0">
      <selection activeCell="Q35" sqref="Q35"/>
    </sheetView>
  </sheetViews>
  <sheetFormatPr defaultColWidth="8.81640625" defaultRowHeight="14.5" x14ac:dyDescent="0.35"/>
  <cols>
    <col min="1" max="1" width="21.453125" customWidth="1"/>
    <col min="2" max="2" width="14.453125" customWidth="1"/>
    <col min="3" max="3" width="14.26953125" style="308" customWidth="1"/>
    <col min="4" max="4" width="14.1796875" style="308" customWidth="1"/>
    <col min="5" max="5" width="14.81640625" style="308" customWidth="1"/>
    <col min="6" max="6" width="11.81640625" style="308" customWidth="1"/>
    <col min="7" max="7" width="15.81640625" style="308" customWidth="1"/>
    <col min="8" max="8" width="13.453125" style="308" customWidth="1"/>
    <col min="9" max="28" width="8.453125" style="308" customWidth="1"/>
  </cols>
  <sheetData>
    <row r="1" spans="1:29" ht="15" thickBot="1" x14ac:dyDescent="0.4"/>
    <row r="2" spans="1:29" ht="48.75" customHeight="1" thickBot="1" x14ac:dyDescent="0.4">
      <c r="A2" s="311" t="s">
        <v>227</v>
      </c>
      <c r="B2" s="332" t="s">
        <v>228</v>
      </c>
      <c r="C2" s="330" t="s">
        <v>229</v>
      </c>
      <c r="D2" s="312" t="s">
        <v>230</v>
      </c>
      <c r="E2" s="312" t="s">
        <v>231</v>
      </c>
      <c r="F2" s="337" t="s">
        <v>222</v>
      </c>
      <c r="G2" s="332" t="s">
        <v>232</v>
      </c>
      <c r="H2" s="341" t="s">
        <v>229</v>
      </c>
      <c r="I2" s="313" t="s">
        <v>222</v>
      </c>
      <c r="O2" s="314"/>
      <c r="P2" s="315"/>
      <c r="Q2" s="315"/>
      <c r="R2" s="316"/>
      <c r="S2" s="316"/>
      <c r="T2" s="316"/>
      <c r="U2" s="316"/>
      <c r="V2" s="316"/>
      <c r="W2" s="316"/>
      <c r="X2" s="316"/>
      <c r="Y2" s="315"/>
      <c r="Z2" s="315"/>
      <c r="AA2" s="316"/>
      <c r="AB2" s="316"/>
      <c r="AC2" s="316"/>
    </row>
    <row r="3" spans="1:29" x14ac:dyDescent="0.35">
      <c r="A3" s="317" t="s">
        <v>172</v>
      </c>
      <c r="B3" s="333"/>
      <c r="C3" s="331"/>
      <c r="D3" s="327"/>
      <c r="E3" s="327"/>
      <c r="F3" s="338"/>
      <c r="G3" s="342"/>
      <c r="H3" s="331"/>
      <c r="I3" s="327"/>
      <c r="O3" s="318"/>
      <c r="P3" s="319"/>
      <c r="Q3" s="320"/>
      <c r="R3" s="320"/>
      <c r="S3" s="320"/>
      <c r="T3" s="320"/>
      <c r="U3" s="320"/>
      <c r="V3" s="320"/>
      <c r="W3" s="320"/>
      <c r="X3" s="320"/>
      <c r="Y3" s="320"/>
      <c r="Z3" s="320"/>
      <c r="AA3" s="320"/>
      <c r="AB3" s="320"/>
      <c r="AC3" s="320"/>
    </row>
    <row r="4" spans="1:29" x14ac:dyDescent="0.35">
      <c r="A4" s="321" t="s">
        <v>233</v>
      </c>
      <c r="B4" s="334" t="s">
        <v>234</v>
      </c>
      <c r="C4" s="329"/>
      <c r="D4" s="328"/>
      <c r="E4" s="328"/>
      <c r="F4" s="339"/>
      <c r="G4" s="335"/>
      <c r="H4" s="329"/>
      <c r="I4" s="328"/>
      <c r="O4" s="318"/>
      <c r="P4" s="322"/>
      <c r="Q4" s="320"/>
      <c r="R4" s="320"/>
      <c r="S4" s="320"/>
      <c r="T4" s="320"/>
      <c r="U4" s="320"/>
      <c r="V4" s="320"/>
      <c r="W4" s="320"/>
      <c r="X4" s="320"/>
      <c r="Y4" s="320"/>
      <c r="Z4" s="320"/>
      <c r="AA4" s="320"/>
      <c r="AB4" s="320"/>
      <c r="AC4" s="320"/>
    </row>
    <row r="5" spans="1:29" ht="15.75" customHeight="1" x14ac:dyDescent="0.35">
      <c r="A5" s="323" t="s">
        <v>235</v>
      </c>
      <c r="B5" s="335"/>
      <c r="C5" s="329"/>
      <c r="D5" s="328"/>
      <c r="E5" s="328"/>
      <c r="F5" s="339"/>
      <c r="G5" s="335"/>
      <c r="H5" s="329"/>
      <c r="I5" s="328"/>
      <c r="O5" s="318"/>
      <c r="P5" s="320"/>
      <c r="Q5" s="320"/>
      <c r="R5" s="320"/>
      <c r="S5" s="320"/>
      <c r="T5" s="320"/>
      <c r="U5" s="320"/>
      <c r="V5" s="320"/>
      <c r="W5" s="320"/>
      <c r="X5" s="320"/>
      <c r="Y5" s="320"/>
      <c r="Z5" s="320"/>
      <c r="AA5" s="320"/>
      <c r="AB5" s="320"/>
      <c r="AC5" s="320"/>
    </row>
    <row r="6" spans="1:29" x14ac:dyDescent="0.35">
      <c r="A6" s="323" t="s">
        <v>236</v>
      </c>
      <c r="B6" s="335"/>
      <c r="C6" s="329"/>
      <c r="D6" s="328"/>
      <c r="E6" s="328"/>
      <c r="F6" s="339"/>
      <c r="G6" s="335"/>
      <c r="H6" s="329"/>
      <c r="I6" s="328"/>
      <c r="O6" s="318"/>
      <c r="P6" s="320"/>
      <c r="Q6" s="320"/>
      <c r="R6" s="320"/>
      <c r="S6" s="320"/>
      <c r="T6" s="320"/>
      <c r="U6" s="320"/>
      <c r="V6" s="320"/>
      <c r="W6" s="320"/>
      <c r="X6" s="320"/>
      <c r="Y6" s="320"/>
      <c r="Z6" s="320"/>
      <c r="AA6" s="320"/>
      <c r="AB6" s="320"/>
      <c r="AC6" s="320"/>
    </row>
    <row r="7" spans="1:29" x14ac:dyDescent="0.35">
      <c r="A7" s="323" t="s">
        <v>237</v>
      </c>
      <c r="B7" s="335"/>
      <c r="C7" s="329"/>
      <c r="D7" s="328"/>
      <c r="E7" s="328"/>
      <c r="F7" s="339"/>
      <c r="G7" s="335"/>
      <c r="H7" s="329"/>
      <c r="I7" s="328"/>
      <c r="O7" s="318"/>
      <c r="P7" s="320"/>
      <c r="Q7" s="320"/>
      <c r="R7" s="320"/>
      <c r="S7" s="320"/>
      <c r="T7" s="320"/>
      <c r="U7" s="320"/>
      <c r="V7" s="320"/>
      <c r="W7" s="320"/>
      <c r="X7" s="320"/>
      <c r="Y7" s="320"/>
      <c r="Z7" s="320"/>
      <c r="AA7" s="320"/>
      <c r="AB7" s="320"/>
      <c r="AC7" s="320"/>
    </row>
    <row r="8" spans="1:29" x14ac:dyDescent="0.35">
      <c r="A8" s="323" t="s">
        <v>238</v>
      </c>
      <c r="B8" s="335"/>
      <c r="C8" s="329"/>
      <c r="D8" s="328"/>
      <c r="E8" s="328"/>
      <c r="F8" s="339"/>
      <c r="G8" s="335"/>
      <c r="H8" s="329"/>
      <c r="I8" s="328"/>
      <c r="O8" s="318"/>
      <c r="P8" s="320"/>
      <c r="Q8" s="320"/>
      <c r="R8" s="320"/>
      <c r="S8" s="320"/>
      <c r="T8" s="320"/>
      <c r="U8" s="320"/>
      <c r="V8" s="320"/>
      <c r="W8" s="320"/>
      <c r="X8" s="320"/>
      <c r="Y8" s="320"/>
      <c r="Z8" s="320"/>
      <c r="AA8" s="320"/>
      <c r="AB8" s="320"/>
      <c r="AC8" s="320"/>
    </row>
    <row r="9" spans="1:29" x14ac:dyDescent="0.35">
      <c r="A9" s="323" t="s">
        <v>239</v>
      </c>
      <c r="B9" s="335"/>
      <c r="C9" s="329"/>
      <c r="D9" s="328"/>
      <c r="E9" s="328"/>
      <c r="F9" s="339"/>
      <c r="G9" s="335"/>
      <c r="H9" s="329"/>
      <c r="I9" s="328"/>
      <c r="O9" s="318"/>
      <c r="P9" s="320"/>
      <c r="Q9" s="320"/>
      <c r="R9" s="320"/>
      <c r="S9" s="320"/>
      <c r="T9" s="320"/>
      <c r="U9" s="320"/>
      <c r="V9" s="320"/>
      <c r="W9" s="320"/>
      <c r="X9" s="320"/>
      <c r="Y9" s="320"/>
      <c r="Z9" s="320"/>
      <c r="AA9" s="320"/>
      <c r="AB9" s="320"/>
      <c r="AC9" s="320"/>
    </row>
    <row r="10" spans="1:29" x14ac:dyDescent="0.35">
      <c r="A10" s="323" t="s">
        <v>240</v>
      </c>
      <c r="B10" s="335"/>
      <c r="C10" s="329"/>
      <c r="D10" s="328"/>
      <c r="E10" s="328"/>
      <c r="F10" s="339"/>
      <c r="G10" s="335"/>
      <c r="H10" s="329"/>
      <c r="I10" s="328"/>
      <c r="O10" s="318"/>
      <c r="P10" s="320"/>
      <c r="Q10" s="320"/>
      <c r="R10" s="320"/>
      <c r="S10" s="320"/>
      <c r="T10" s="320"/>
      <c r="U10" s="320"/>
      <c r="V10" s="320"/>
      <c r="W10" s="320"/>
      <c r="X10" s="320"/>
      <c r="Y10" s="320"/>
      <c r="Z10" s="320"/>
      <c r="AA10" s="320"/>
      <c r="AB10" s="320"/>
      <c r="AC10" s="320"/>
    </row>
    <row r="11" spans="1:29" x14ac:dyDescent="0.35">
      <c r="A11" s="323" t="s">
        <v>241</v>
      </c>
      <c r="B11" s="335"/>
      <c r="C11" s="329"/>
      <c r="D11" s="328"/>
      <c r="E11" s="328"/>
      <c r="F11" s="339"/>
      <c r="G11" s="335"/>
      <c r="H11" s="329"/>
      <c r="I11" s="328"/>
      <c r="O11" s="318"/>
      <c r="P11" s="320"/>
      <c r="Q11" s="320"/>
      <c r="R11" s="320"/>
      <c r="S11" s="320"/>
      <c r="T11" s="320"/>
      <c r="U11" s="320"/>
      <c r="V11" s="320"/>
      <c r="W11" s="320"/>
      <c r="X11" s="320"/>
      <c r="Y11" s="320"/>
      <c r="Z11" s="320"/>
      <c r="AA11" s="320"/>
      <c r="AB11" s="320"/>
      <c r="AC11" s="320"/>
    </row>
    <row r="12" spans="1:29" x14ac:dyDescent="0.35">
      <c r="A12" s="323" t="s">
        <v>242</v>
      </c>
      <c r="B12" s="335"/>
      <c r="C12" s="329"/>
      <c r="D12" s="328"/>
      <c r="E12" s="328"/>
      <c r="F12" s="339"/>
      <c r="G12" s="335"/>
      <c r="H12" s="329"/>
      <c r="I12" s="328"/>
      <c r="O12" s="318"/>
      <c r="P12" s="320"/>
      <c r="Q12" s="320"/>
      <c r="R12" s="320"/>
      <c r="S12" s="320"/>
      <c r="T12" s="320"/>
      <c r="U12" s="320"/>
      <c r="V12" s="320"/>
      <c r="W12" s="320"/>
      <c r="X12" s="320"/>
      <c r="Y12" s="320"/>
      <c r="Z12" s="320"/>
      <c r="AA12" s="320"/>
      <c r="AB12" s="320"/>
      <c r="AC12" s="320"/>
    </row>
    <row r="13" spans="1:29" x14ac:dyDescent="0.35">
      <c r="A13" s="323" t="s">
        <v>243</v>
      </c>
      <c r="B13" s="335"/>
      <c r="C13" s="329"/>
      <c r="D13" s="328"/>
      <c r="E13" s="328"/>
      <c r="F13" s="339"/>
      <c r="G13" s="335"/>
      <c r="H13" s="329"/>
      <c r="I13" s="328"/>
      <c r="O13" s="318"/>
      <c r="P13" s="320"/>
      <c r="Q13" s="320"/>
      <c r="R13" s="320"/>
      <c r="S13" s="320"/>
      <c r="T13" s="320"/>
      <c r="U13" s="320"/>
      <c r="V13" s="320"/>
      <c r="W13" s="320"/>
      <c r="X13" s="320"/>
      <c r="Y13" s="320"/>
      <c r="Z13" s="320"/>
      <c r="AA13" s="320"/>
      <c r="AB13" s="320"/>
      <c r="AC13" s="320"/>
    </row>
    <row r="14" spans="1:29" x14ac:dyDescent="0.35">
      <c r="A14" s="323" t="s">
        <v>244</v>
      </c>
      <c r="B14" s="335"/>
      <c r="C14" s="329"/>
      <c r="D14" s="328"/>
      <c r="E14" s="328"/>
      <c r="F14" s="339"/>
      <c r="G14" s="335"/>
      <c r="H14" s="329"/>
      <c r="I14" s="328"/>
      <c r="O14" s="318"/>
      <c r="P14" s="320"/>
      <c r="Q14" s="320"/>
      <c r="R14" s="320"/>
      <c r="S14" s="320"/>
      <c r="T14" s="320"/>
      <c r="U14" s="320"/>
      <c r="V14" s="320"/>
      <c r="W14" s="320"/>
      <c r="X14" s="320"/>
      <c r="Y14" s="320"/>
      <c r="Z14" s="320"/>
      <c r="AA14" s="320"/>
      <c r="AB14" s="320"/>
      <c r="AC14" s="320"/>
    </row>
    <row r="15" spans="1:29" x14ac:dyDescent="0.35">
      <c r="A15" s="323" t="s">
        <v>245</v>
      </c>
      <c r="B15" s="335"/>
      <c r="C15" s="329"/>
      <c r="D15" s="328"/>
      <c r="E15" s="328"/>
      <c r="F15" s="339"/>
      <c r="G15" s="335"/>
      <c r="H15" s="329"/>
      <c r="I15" s="328"/>
      <c r="O15" s="318"/>
      <c r="P15" s="320"/>
      <c r="Q15" s="320"/>
      <c r="R15" s="320"/>
      <c r="S15" s="320"/>
      <c r="T15" s="320"/>
      <c r="U15" s="320"/>
      <c r="V15" s="320"/>
      <c r="W15" s="320"/>
      <c r="X15" s="320"/>
      <c r="Y15" s="320"/>
      <c r="Z15" s="320"/>
      <c r="AA15" s="320"/>
      <c r="AB15" s="320"/>
      <c r="AC15" s="320"/>
    </row>
    <row r="16" spans="1:29" x14ac:dyDescent="0.35">
      <c r="A16" s="323" t="s">
        <v>246</v>
      </c>
      <c r="B16" s="335"/>
      <c r="C16" s="329"/>
      <c r="D16" s="328"/>
      <c r="E16" s="328"/>
      <c r="F16" s="339"/>
      <c r="G16" s="335"/>
      <c r="H16" s="329"/>
      <c r="I16" s="328"/>
      <c r="O16" s="318"/>
      <c r="P16" s="320"/>
      <c r="Q16" s="320"/>
      <c r="R16" s="320"/>
      <c r="S16" s="320"/>
      <c r="T16" s="320"/>
      <c r="U16" s="320"/>
      <c r="V16" s="320"/>
      <c r="W16" s="320"/>
      <c r="X16" s="320"/>
      <c r="Y16" s="320"/>
      <c r="Z16" s="320"/>
      <c r="AA16" s="320"/>
      <c r="AB16" s="320"/>
      <c r="AC16" s="320"/>
    </row>
    <row r="17" spans="1:29" x14ac:dyDescent="0.35">
      <c r="A17" s="323" t="s">
        <v>247</v>
      </c>
      <c r="B17" s="335"/>
      <c r="C17" s="329"/>
      <c r="D17" s="328"/>
      <c r="E17" s="328"/>
      <c r="F17" s="339"/>
      <c r="G17" s="335"/>
      <c r="H17" s="329"/>
      <c r="I17" s="328"/>
      <c r="O17" s="318"/>
      <c r="P17" s="320"/>
      <c r="Q17" s="320"/>
      <c r="R17" s="320"/>
      <c r="S17" s="320"/>
      <c r="T17" s="320"/>
      <c r="U17" s="320"/>
      <c r="V17" s="320"/>
      <c r="W17" s="320"/>
      <c r="X17" s="320"/>
      <c r="Y17" s="320"/>
      <c r="Z17" s="320"/>
      <c r="AA17" s="320"/>
      <c r="AB17" s="320"/>
      <c r="AC17" s="320"/>
    </row>
    <row r="18" spans="1:29" x14ac:dyDescent="0.35">
      <c r="A18" s="323" t="s">
        <v>248</v>
      </c>
      <c r="B18" s="335"/>
      <c r="C18" s="329"/>
      <c r="D18" s="328"/>
      <c r="E18" s="328"/>
      <c r="F18" s="339"/>
      <c r="G18" s="335"/>
      <c r="H18" s="329"/>
      <c r="I18" s="328"/>
      <c r="O18" s="318"/>
      <c r="P18" s="320"/>
      <c r="Q18" s="320"/>
      <c r="R18" s="320"/>
      <c r="S18" s="320"/>
      <c r="T18" s="320"/>
      <c r="U18" s="320"/>
      <c r="V18" s="320"/>
      <c r="W18" s="320"/>
      <c r="X18" s="320"/>
      <c r="Y18" s="320"/>
      <c r="Z18" s="320"/>
      <c r="AA18" s="320"/>
      <c r="AB18" s="320"/>
      <c r="AC18" s="320"/>
    </row>
    <row r="19" spans="1:29" x14ac:dyDescent="0.35">
      <c r="A19" s="323" t="s">
        <v>249</v>
      </c>
      <c r="B19" s="335"/>
      <c r="C19" s="329"/>
      <c r="D19" s="328"/>
      <c r="E19" s="328"/>
      <c r="F19" s="339"/>
      <c r="G19" s="335"/>
      <c r="H19" s="329"/>
      <c r="I19" s="328"/>
      <c r="O19" s="318"/>
      <c r="P19" s="320"/>
      <c r="Q19" s="320"/>
      <c r="R19" s="320"/>
      <c r="S19" s="320"/>
      <c r="T19" s="320"/>
      <c r="U19" s="320"/>
      <c r="V19" s="320"/>
      <c r="W19" s="320"/>
      <c r="X19" s="320"/>
      <c r="Y19" s="320"/>
      <c r="Z19" s="320"/>
      <c r="AA19" s="320"/>
      <c r="AB19" s="320"/>
      <c r="AC19" s="320"/>
    </row>
    <row r="20" spans="1:29" x14ac:dyDescent="0.35">
      <c r="A20" s="323" t="s">
        <v>250</v>
      </c>
      <c r="B20" s="335"/>
      <c r="C20" s="329"/>
      <c r="D20" s="328"/>
      <c r="E20" s="328"/>
      <c r="F20" s="339"/>
      <c r="G20" s="335"/>
      <c r="H20" s="329"/>
      <c r="I20" s="328"/>
      <c r="O20" s="318"/>
      <c r="P20" s="320"/>
      <c r="Q20" s="320"/>
      <c r="R20" s="320"/>
      <c r="S20" s="320"/>
      <c r="T20" s="320"/>
      <c r="U20" s="320"/>
      <c r="V20" s="320"/>
      <c r="W20" s="320"/>
      <c r="X20" s="320"/>
      <c r="Y20" s="320"/>
      <c r="Z20" s="320"/>
      <c r="AA20" s="320"/>
      <c r="AB20" s="320"/>
      <c r="AC20" s="320"/>
    </row>
    <row r="21" spans="1:29" x14ac:dyDescent="0.35">
      <c r="A21" s="323" t="s">
        <v>251</v>
      </c>
      <c r="B21" s="335"/>
      <c r="C21" s="329"/>
      <c r="D21" s="328"/>
      <c r="E21" s="328"/>
      <c r="F21" s="339"/>
      <c r="G21" s="335"/>
      <c r="H21" s="329"/>
      <c r="I21" s="328"/>
      <c r="O21" s="318"/>
      <c r="P21" s="320"/>
      <c r="Q21" s="320"/>
      <c r="R21" s="320"/>
      <c r="S21" s="320"/>
      <c r="T21" s="320"/>
      <c r="U21" s="320"/>
      <c r="V21" s="320"/>
      <c r="W21" s="320"/>
      <c r="X21" s="320"/>
      <c r="Y21" s="320"/>
      <c r="Z21" s="320"/>
      <c r="AA21" s="320"/>
      <c r="AB21" s="320"/>
      <c r="AC21" s="320"/>
    </row>
    <row r="22" spans="1:29" x14ac:dyDescent="0.35">
      <c r="A22" s="323" t="s">
        <v>252</v>
      </c>
      <c r="B22" s="335"/>
      <c r="C22" s="329"/>
      <c r="D22" s="328"/>
      <c r="E22" s="328"/>
      <c r="F22" s="339"/>
      <c r="G22" s="335"/>
      <c r="H22" s="329"/>
      <c r="I22" s="328"/>
      <c r="O22" s="318"/>
      <c r="P22" s="320"/>
      <c r="Q22" s="320"/>
      <c r="R22" s="320"/>
      <c r="S22" s="320"/>
      <c r="T22" s="320"/>
      <c r="U22" s="320"/>
      <c r="V22" s="320"/>
      <c r="W22" s="320"/>
      <c r="X22" s="320"/>
      <c r="Y22" s="320"/>
      <c r="Z22" s="320"/>
      <c r="AA22" s="320"/>
      <c r="AB22" s="320"/>
      <c r="AC22" s="320"/>
    </row>
    <row r="23" spans="1:29" x14ac:dyDescent="0.35">
      <c r="A23" s="323" t="s">
        <v>253</v>
      </c>
      <c r="B23" s="335"/>
      <c r="C23" s="329"/>
      <c r="D23" s="328"/>
      <c r="E23" s="328"/>
      <c r="F23" s="339"/>
      <c r="G23" s="335"/>
      <c r="H23" s="329"/>
      <c r="I23" s="328"/>
      <c r="O23" s="318"/>
      <c r="P23" s="320"/>
      <c r="Q23" s="320"/>
      <c r="R23" s="320"/>
      <c r="S23" s="320"/>
      <c r="T23" s="320"/>
      <c r="U23" s="320"/>
      <c r="V23" s="320"/>
      <c r="W23" s="320"/>
      <c r="X23" s="320"/>
      <c r="Y23" s="320"/>
      <c r="Z23" s="320"/>
      <c r="AA23" s="320"/>
      <c r="AB23" s="320"/>
      <c r="AC23" s="320"/>
    </row>
    <row r="24" spans="1:29" x14ac:dyDescent="0.35">
      <c r="A24" s="323" t="s">
        <v>254</v>
      </c>
      <c r="B24" s="335"/>
      <c r="C24" s="329"/>
      <c r="D24" s="328"/>
      <c r="E24" s="328"/>
      <c r="F24" s="339"/>
      <c r="G24" s="335"/>
      <c r="H24" s="329"/>
      <c r="I24" s="328"/>
      <c r="O24" s="318"/>
      <c r="P24" s="320"/>
      <c r="Q24" s="320"/>
      <c r="R24" s="320"/>
      <c r="S24" s="320"/>
      <c r="T24" s="320"/>
      <c r="U24" s="320"/>
      <c r="V24" s="320"/>
      <c r="W24" s="320"/>
      <c r="X24" s="320"/>
      <c r="Y24" s="320"/>
      <c r="Z24" s="320"/>
      <c r="AA24" s="320"/>
      <c r="AB24" s="320"/>
      <c r="AC24" s="320"/>
    </row>
    <row r="25" spans="1:29" x14ac:dyDescent="0.35">
      <c r="A25" s="323" t="s">
        <v>255</v>
      </c>
      <c r="B25" s="335"/>
      <c r="C25" s="329"/>
      <c r="D25" s="328"/>
      <c r="E25" s="328"/>
      <c r="F25" s="339"/>
      <c r="G25" s="335"/>
      <c r="H25" s="329"/>
      <c r="I25" s="328"/>
      <c r="O25" s="318"/>
      <c r="P25" s="320"/>
      <c r="Q25" s="320"/>
      <c r="R25" s="320"/>
      <c r="S25" s="320"/>
      <c r="T25" s="320"/>
      <c r="U25" s="320"/>
      <c r="V25" s="320"/>
      <c r="W25" s="320"/>
      <c r="X25" s="320"/>
      <c r="Y25" s="320"/>
      <c r="Z25" s="320"/>
      <c r="AA25" s="320"/>
      <c r="AB25" s="320"/>
      <c r="AC25" s="320"/>
    </row>
    <row r="26" spans="1:29" x14ac:dyDescent="0.35">
      <c r="A26" s="323" t="s">
        <v>256</v>
      </c>
      <c r="B26" s="335"/>
      <c r="C26" s="329"/>
      <c r="D26" s="328"/>
      <c r="E26" s="328"/>
      <c r="F26" s="339"/>
      <c r="G26" s="335"/>
      <c r="H26" s="329"/>
      <c r="I26" s="328"/>
      <c r="O26" s="318"/>
      <c r="P26" s="320"/>
      <c r="Q26" s="320"/>
      <c r="R26" s="320"/>
      <c r="S26" s="320"/>
      <c r="T26" s="320"/>
      <c r="U26" s="320"/>
      <c r="V26" s="320"/>
      <c r="W26" s="320"/>
      <c r="X26" s="320"/>
      <c r="Y26" s="320"/>
      <c r="Z26" s="320"/>
      <c r="AA26" s="320"/>
      <c r="AB26" s="320"/>
      <c r="AC26" s="320"/>
    </row>
    <row r="27" spans="1:29" x14ac:dyDescent="0.35">
      <c r="A27" s="323" t="s">
        <v>257</v>
      </c>
      <c r="B27" s="335"/>
      <c r="C27" s="329"/>
      <c r="D27" s="328"/>
      <c r="E27" s="328"/>
      <c r="F27" s="339"/>
      <c r="G27" s="335"/>
      <c r="H27" s="329"/>
      <c r="I27" s="328"/>
      <c r="O27" s="318"/>
      <c r="P27" s="320"/>
      <c r="Q27" s="320"/>
      <c r="R27" s="320"/>
      <c r="S27" s="320"/>
      <c r="T27" s="320"/>
      <c r="U27" s="320"/>
      <c r="V27" s="320"/>
      <c r="W27" s="320"/>
      <c r="X27" s="320"/>
      <c r="Y27" s="320"/>
      <c r="Z27" s="320"/>
      <c r="AA27" s="320"/>
      <c r="AB27" s="320"/>
      <c r="AC27" s="320"/>
    </row>
    <row r="28" spans="1:29" x14ac:dyDescent="0.35">
      <c r="A28" s="323" t="s">
        <v>258</v>
      </c>
      <c r="B28" s="335"/>
      <c r="C28" s="329"/>
      <c r="D28" s="328"/>
      <c r="E28" s="328"/>
      <c r="F28" s="339"/>
      <c r="G28" s="335"/>
      <c r="H28" s="329"/>
      <c r="I28" s="328"/>
      <c r="O28" s="318"/>
      <c r="P28" s="320"/>
      <c r="Q28" s="320"/>
      <c r="R28" s="320"/>
      <c r="S28" s="320"/>
      <c r="T28" s="320"/>
      <c r="U28" s="320"/>
      <c r="V28" s="320"/>
      <c r="W28" s="320"/>
      <c r="X28" s="320"/>
      <c r="Y28" s="320"/>
      <c r="Z28" s="320"/>
      <c r="AA28" s="320"/>
      <c r="AB28" s="320"/>
      <c r="AC28" s="320"/>
    </row>
    <row r="29" spans="1:29" x14ac:dyDescent="0.35">
      <c r="A29" s="323" t="s">
        <v>259</v>
      </c>
      <c r="B29" s="335"/>
      <c r="C29" s="329"/>
      <c r="D29" s="328"/>
      <c r="E29" s="328"/>
      <c r="F29" s="339"/>
      <c r="G29" s="335"/>
      <c r="H29" s="329"/>
      <c r="I29" s="328"/>
      <c r="O29" s="318"/>
      <c r="P29" s="320"/>
      <c r="Q29" s="320"/>
      <c r="R29" s="320"/>
      <c r="S29" s="320"/>
      <c r="T29" s="320"/>
      <c r="U29" s="320"/>
      <c r="V29" s="320"/>
      <c r="W29" s="320"/>
      <c r="X29" s="320"/>
      <c r="Y29" s="320"/>
      <c r="Z29" s="320"/>
      <c r="AA29" s="320"/>
      <c r="AB29" s="320"/>
      <c r="AC29" s="320"/>
    </row>
    <row r="30" spans="1:29" x14ac:dyDescent="0.35">
      <c r="A30" s="323" t="s">
        <v>260</v>
      </c>
      <c r="B30" s="335"/>
      <c r="C30" s="329"/>
      <c r="D30" s="328"/>
      <c r="E30" s="328"/>
      <c r="F30" s="339"/>
      <c r="G30" s="335"/>
      <c r="H30" s="329"/>
      <c r="I30" s="328"/>
      <c r="O30" s="318"/>
      <c r="P30" s="320"/>
      <c r="Q30" s="320"/>
      <c r="R30" s="320"/>
      <c r="S30" s="320"/>
      <c r="T30" s="320"/>
      <c r="U30" s="320"/>
      <c r="V30" s="320"/>
      <c r="W30" s="320"/>
      <c r="X30" s="320"/>
      <c r="Y30" s="320"/>
      <c r="Z30" s="320"/>
      <c r="AA30" s="320"/>
      <c r="AB30" s="320"/>
      <c r="AC30" s="320"/>
    </row>
    <row r="31" spans="1:29" x14ac:dyDescent="0.35">
      <c r="A31" s="323" t="s">
        <v>261</v>
      </c>
      <c r="B31" s="335"/>
      <c r="C31" s="329"/>
      <c r="D31" s="328"/>
      <c r="E31" s="328"/>
      <c r="F31" s="339"/>
      <c r="G31" s="335"/>
      <c r="H31" s="329"/>
      <c r="I31" s="328"/>
      <c r="O31" s="318"/>
      <c r="P31" s="320"/>
      <c r="Q31" s="320"/>
      <c r="R31" s="320"/>
      <c r="S31" s="320"/>
      <c r="T31" s="320"/>
      <c r="U31" s="320"/>
      <c r="V31" s="320"/>
      <c r="W31" s="320"/>
      <c r="X31" s="320"/>
      <c r="Y31" s="320"/>
      <c r="Z31" s="320"/>
      <c r="AA31" s="320"/>
      <c r="AB31" s="320"/>
      <c r="AC31" s="320"/>
    </row>
    <row r="32" spans="1:29" x14ac:dyDescent="0.35">
      <c r="A32" s="323" t="s">
        <v>262</v>
      </c>
      <c r="B32" s="335"/>
      <c r="C32" s="329"/>
      <c r="D32" s="328"/>
      <c r="E32" s="328"/>
      <c r="F32" s="339"/>
      <c r="G32" s="335"/>
      <c r="H32" s="329"/>
      <c r="I32" s="328"/>
      <c r="O32" s="318"/>
      <c r="P32" s="320"/>
      <c r="Q32" s="320"/>
      <c r="R32" s="320"/>
      <c r="S32" s="320"/>
      <c r="T32" s="320"/>
      <c r="U32" s="320"/>
      <c r="V32" s="320"/>
      <c r="W32" s="320"/>
      <c r="X32" s="320"/>
      <c r="Y32" s="320"/>
      <c r="Z32" s="320"/>
      <c r="AA32" s="320"/>
      <c r="AB32" s="320"/>
      <c r="AC32" s="320"/>
    </row>
    <row r="33" spans="1:29" x14ac:dyDescent="0.35">
      <c r="A33" s="323" t="s">
        <v>263</v>
      </c>
      <c r="B33" s="335"/>
      <c r="C33" s="329"/>
      <c r="D33" s="328"/>
      <c r="E33" s="328"/>
      <c r="F33" s="339"/>
      <c r="G33" s="335"/>
      <c r="H33" s="329"/>
      <c r="I33" s="328"/>
      <c r="O33" s="318"/>
      <c r="P33" s="320"/>
      <c r="Q33" s="320"/>
      <c r="R33" s="320"/>
      <c r="S33" s="320"/>
      <c r="T33" s="320"/>
      <c r="U33" s="320"/>
      <c r="V33" s="320"/>
      <c r="W33" s="320"/>
      <c r="X33" s="320"/>
      <c r="Y33" s="320"/>
      <c r="Z33" s="320"/>
      <c r="AA33" s="320"/>
      <c r="AB33" s="320"/>
      <c r="AC33" s="320"/>
    </row>
    <row r="34" spans="1:29" ht="15" thickBot="1" x14ac:dyDescent="0.4">
      <c r="A34" s="324" t="s">
        <v>264</v>
      </c>
      <c r="B34" s="336"/>
      <c r="C34" s="325"/>
      <c r="D34" s="259"/>
      <c r="E34" s="259"/>
      <c r="F34" s="340"/>
      <c r="G34" s="336"/>
      <c r="H34" s="325"/>
      <c r="I34" s="259"/>
      <c r="O34" s="318"/>
      <c r="P34" s="319"/>
      <c r="Q34" s="319"/>
      <c r="R34" s="319"/>
      <c r="S34" s="319"/>
      <c r="T34" s="319"/>
      <c r="U34" s="319"/>
      <c r="V34" s="319"/>
      <c r="W34" s="319"/>
      <c r="X34" s="319"/>
      <c r="Y34" s="319"/>
      <c r="Z34" s="319"/>
      <c r="AA34" s="319"/>
      <c r="AB34" s="319"/>
      <c r="AC34" s="319"/>
    </row>
    <row r="37" spans="1:29" ht="15" thickBot="1" x14ac:dyDescent="0.4"/>
    <row r="38" spans="1:29" ht="44" thickBot="1" x14ac:dyDescent="0.4">
      <c r="A38" s="311" t="s">
        <v>265</v>
      </c>
      <c r="B38" s="332" t="s">
        <v>228</v>
      </c>
      <c r="C38" s="330" t="s">
        <v>229</v>
      </c>
      <c r="D38" s="312" t="s">
        <v>230</v>
      </c>
      <c r="E38" s="312" t="s">
        <v>231</v>
      </c>
      <c r="F38" s="337" t="s">
        <v>222</v>
      </c>
      <c r="G38" s="332" t="s">
        <v>232</v>
      </c>
      <c r="H38" s="341" t="s">
        <v>229</v>
      </c>
      <c r="I38" s="313" t="s">
        <v>222</v>
      </c>
    </row>
    <row r="39" spans="1:29" x14ac:dyDescent="0.35">
      <c r="A39" s="317" t="s">
        <v>172</v>
      </c>
      <c r="B39" s="333"/>
      <c r="C39" s="331"/>
      <c r="D39" s="327"/>
      <c r="E39" s="327"/>
      <c r="F39" s="338"/>
      <c r="G39" s="342"/>
      <c r="H39" s="331"/>
      <c r="I39" s="327"/>
    </row>
    <row r="40" spans="1:29" x14ac:dyDescent="0.35">
      <c r="A40" s="321" t="s">
        <v>233</v>
      </c>
      <c r="B40" s="334" t="s">
        <v>234</v>
      </c>
      <c r="C40" s="329"/>
      <c r="D40" s="328"/>
      <c r="E40" s="328"/>
      <c r="F40" s="339"/>
      <c r="G40" s="335"/>
      <c r="H40" s="329"/>
      <c r="I40" s="328"/>
    </row>
    <row r="41" spans="1:29" x14ac:dyDescent="0.35">
      <c r="A41" s="323" t="s">
        <v>235</v>
      </c>
      <c r="B41" s="335"/>
      <c r="C41" s="329"/>
      <c r="D41" s="328"/>
      <c r="E41" s="328"/>
      <c r="F41" s="339"/>
      <c r="G41" s="335"/>
      <c r="H41" s="329"/>
      <c r="I41" s="328"/>
    </row>
    <row r="42" spans="1:29" x14ac:dyDescent="0.35">
      <c r="A42" s="323" t="s">
        <v>236</v>
      </c>
      <c r="B42" s="335"/>
      <c r="C42" s="329"/>
      <c r="D42" s="328"/>
      <c r="E42" s="328"/>
      <c r="F42" s="339"/>
      <c r="G42" s="335"/>
      <c r="H42" s="329"/>
      <c r="I42" s="328"/>
    </row>
    <row r="43" spans="1:29" x14ac:dyDescent="0.35">
      <c r="A43" s="323" t="s">
        <v>237</v>
      </c>
      <c r="B43" s="335"/>
      <c r="C43" s="329"/>
      <c r="D43" s="328"/>
      <c r="E43" s="328"/>
      <c r="F43" s="339"/>
      <c r="G43" s="335"/>
      <c r="H43" s="329"/>
      <c r="I43" s="328"/>
    </row>
    <row r="44" spans="1:29" x14ac:dyDescent="0.35">
      <c r="A44" s="323" t="s">
        <v>238</v>
      </c>
      <c r="B44" s="335"/>
      <c r="C44" s="329"/>
      <c r="D44" s="328"/>
      <c r="E44" s="328"/>
      <c r="F44" s="339"/>
      <c r="G44" s="335"/>
      <c r="H44" s="329"/>
      <c r="I44" s="328"/>
    </row>
    <row r="45" spans="1:29" x14ac:dyDescent="0.35">
      <c r="A45" s="323" t="s">
        <v>239</v>
      </c>
      <c r="B45" s="335"/>
      <c r="C45" s="329"/>
      <c r="D45" s="328"/>
      <c r="E45" s="328"/>
      <c r="F45" s="339"/>
      <c r="G45" s="335"/>
      <c r="H45" s="329"/>
      <c r="I45" s="328"/>
    </row>
    <row r="46" spans="1:29" x14ac:dyDescent="0.35">
      <c r="A46" s="323" t="s">
        <v>240</v>
      </c>
      <c r="B46" s="335"/>
      <c r="C46" s="329"/>
      <c r="D46" s="328"/>
      <c r="E46" s="328"/>
      <c r="F46" s="339"/>
      <c r="G46" s="335"/>
      <c r="H46" s="329"/>
      <c r="I46" s="328"/>
    </row>
    <row r="47" spans="1:29" x14ac:dyDescent="0.35">
      <c r="A47" s="323" t="s">
        <v>241</v>
      </c>
      <c r="B47" s="335"/>
      <c r="C47" s="329"/>
      <c r="D47" s="328"/>
      <c r="E47" s="328"/>
      <c r="F47" s="339"/>
      <c r="G47" s="335"/>
      <c r="H47" s="329"/>
      <c r="I47" s="328"/>
    </row>
    <row r="48" spans="1:29" x14ac:dyDescent="0.35">
      <c r="A48" s="323" t="s">
        <v>242</v>
      </c>
      <c r="B48" s="335"/>
      <c r="C48" s="329"/>
      <c r="D48" s="328"/>
      <c r="E48" s="328"/>
      <c r="F48" s="339"/>
      <c r="G48" s="335"/>
      <c r="H48" s="329"/>
      <c r="I48" s="328"/>
    </row>
    <row r="49" spans="1:9" x14ac:dyDescent="0.35">
      <c r="A49" s="323" t="s">
        <v>243</v>
      </c>
      <c r="B49" s="335"/>
      <c r="C49" s="329"/>
      <c r="D49" s="328"/>
      <c r="E49" s="328"/>
      <c r="F49" s="339"/>
      <c r="G49" s="335"/>
      <c r="H49" s="329"/>
      <c r="I49" s="328"/>
    </row>
    <row r="50" spans="1:9" x14ac:dyDescent="0.35">
      <c r="A50" s="323" t="s">
        <v>244</v>
      </c>
      <c r="B50" s="335"/>
      <c r="C50" s="329"/>
      <c r="D50" s="328"/>
      <c r="E50" s="328"/>
      <c r="F50" s="339"/>
      <c r="G50" s="335"/>
      <c r="H50" s="329"/>
      <c r="I50" s="328"/>
    </row>
    <row r="51" spans="1:9" x14ac:dyDescent="0.35">
      <c r="A51" s="323" t="s">
        <v>245</v>
      </c>
      <c r="B51" s="335"/>
      <c r="C51" s="329"/>
      <c r="D51" s="328"/>
      <c r="E51" s="328"/>
      <c r="F51" s="339"/>
      <c r="G51" s="335"/>
      <c r="H51" s="329"/>
      <c r="I51" s="328"/>
    </row>
    <row r="52" spans="1:9" x14ac:dyDescent="0.35">
      <c r="A52" s="323" t="s">
        <v>246</v>
      </c>
      <c r="B52" s="335"/>
      <c r="C52" s="329"/>
      <c r="D52" s="328"/>
      <c r="E52" s="328"/>
      <c r="F52" s="339"/>
      <c r="G52" s="335"/>
      <c r="H52" s="329"/>
      <c r="I52" s="328"/>
    </row>
    <row r="53" spans="1:9" x14ac:dyDescent="0.35">
      <c r="A53" s="323" t="s">
        <v>247</v>
      </c>
      <c r="B53" s="335"/>
      <c r="C53" s="329"/>
      <c r="D53" s="328"/>
      <c r="E53" s="328"/>
      <c r="F53" s="339"/>
      <c r="G53" s="335"/>
      <c r="H53" s="329"/>
      <c r="I53" s="328"/>
    </row>
    <row r="54" spans="1:9" x14ac:dyDescent="0.35">
      <c r="A54" s="323" t="s">
        <v>248</v>
      </c>
      <c r="B54" s="335"/>
      <c r="C54" s="329"/>
      <c r="D54" s="328"/>
      <c r="E54" s="328"/>
      <c r="F54" s="339"/>
      <c r="G54" s="335"/>
      <c r="H54" s="329"/>
      <c r="I54" s="328"/>
    </row>
    <row r="55" spans="1:9" x14ac:dyDescent="0.35">
      <c r="A55" s="323" t="s">
        <v>249</v>
      </c>
      <c r="B55" s="335"/>
      <c r="C55" s="329"/>
      <c r="D55" s="328"/>
      <c r="E55" s="328"/>
      <c r="F55" s="339"/>
      <c r="G55" s="335"/>
      <c r="H55" s="329"/>
      <c r="I55" s="328"/>
    </row>
    <row r="56" spans="1:9" x14ac:dyDescent="0.35">
      <c r="A56" s="323" t="s">
        <v>250</v>
      </c>
      <c r="B56" s="335"/>
      <c r="C56" s="329"/>
      <c r="D56" s="328"/>
      <c r="E56" s="328"/>
      <c r="F56" s="339"/>
      <c r="G56" s="335"/>
      <c r="H56" s="329"/>
      <c r="I56" s="328"/>
    </row>
    <row r="57" spans="1:9" x14ac:dyDescent="0.35">
      <c r="A57" s="323" t="s">
        <v>251</v>
      </c>
      <c r="B57" s="335"/>
      <c r="C57" s="329"/>
      <c r="D57" s="328"/>
      <c r="E57" s="328"/>
      <c r="F57" s="339"/>
      <c r="G57" s="335"/>
      <c r="H57" s="329"/>
      <c r="I57" s="328"/>
    </row>
    <row r="58" spans="1:9" x14ac:dyDescent="0.35">
      <c r="A58" s="323" t="s">
        <v>252</v>
      </c>
      <c r="B58" s="335"/>
      <c r="C58" s="329"/>
      <c r="D58" s="328"/>
      <c r="E58" s="328"/>
      <c r="F58" s="339"/>
      <c r="G58" s="335"/>
      <c r="H58" s="329"/>
      <c r="I58" s="328"/>
    </row>
    <row r="59" spans="1:9" x14ac:dyDescent="0.35">
      <c r="A59" s="323" t="s">
        <v>253</v>
      </c>
      <c r="B59" s="335"/>
      <c r="C59" s="329"/>
      <c r="D59" s="328"/>
      <c r="E59" s="328"/>
      <c r="F59" s="339"/>
      <c r="G59" s="335"/>
      <c r="H59" s="329"/>
      <c r="I59" s="328"/>
    </row>
    <row r="60" spans="1:9" x14ac:dyDescent="0.35">
      <c r="A60" s="323" t="s">
        <v>254</v>
      </c>
      <c r="B60" s="335"/>
      <c r="C60" s="329"/>
      <c r="D60" s="328"/>
      <c r="E60" s="328"/>
      <c r="F60" s="339"/>
      <c r="G60" s="335"/>
      <c r="H60" s="329"/>
      <c r="I60" s="328"/>
    </row>
    <row r="61" spans="1:9" x14ac:dyDescent="0.35">
      <c r="A61" s="323" t="s">
        <v>255</v>
      </c>
      <c r="B61" s="335"/>
      <c r="C61" s="329"/>
      <c r="D61" s="328"/>
      <c r="E61" s="328"/>
      <c r="F61" s="339"/>
      <c r="G61" s="335"/>
      <c r="H61" s="329"/>
      <c r="I61" s="328"/>
    </row>
    <row r="62" spans="1:9" x14ac:dyDescent="0.35">
      <c r="A62" s="323" t="s">
        <v>256</v>
      </c>
      <c r="B62" s="335"/>
      <c r="C62" s="329"/>
      <c r="D62" s="328"/>
      <c r="E62" s="328"/>
      <c r="F62" s="339"/>
      <c r="G62" s="335"/>
      <c r="H62" s="329"/>
      <c r="I62" s="328"/>
    </row>
    <row r="63" spans="1:9" x14ac:dyDescent="0.35">
      <c r="A63" s="323" t="s">
        <v>257</v>
      </c>
      <c r="B63" s="335"/>
      <c r="C63" s="329"/>
      <c r="D63" s="328"/>
      <c r="E63" s="328"/>
      <c r="F63" s="339"/>
      <c r="G63" s="335"/>
      <c r="H63" s="329"/>
      <c r="I63" s="328"/>
    </row>
    <row r="64" spans="1:9" x14ac:dyDescent="0.35">
      <c r="A64" s="323" t="s">
        <v>258</v>
      </c>
      <c r="B64" s="335"/>
      <c r="C64" s="329"/>
      <c r="D64" s="328"/>
      <c r="E64" s="328"/>
      <c r="F64" s="339"/>
      <c r="G64" s="335"/>
      <c r="H64" s="329"/>
      <c r="I64" s="328"/>
    </row>
    <row r="65" spans="1:9" x14ac:dyDescent="0.35">
      <c r="A65" s="323" t="s">
        <v>259</v>
      </c>
      <c r="B65" s="335"/>
      <c r="C65" s="329"/>
      <c r="D65" s="328"/>
      <c r="E65" s="328"/>
      <c r="F65" s="339"/>
      <c r="G65" s="335"/>
      <c r="H65" s="329"/>
      <c r="I65" s="328"/>
    </row>
    <row r="66" spans="1:9" x14ac:dyDescent="0.35">
      <c r="A66" s="323" t="s">
        <v>260</v>
      </c>
      <c r="B66" s="335"/>
      <c r="C66" s="329"/>
      <c r="D66" s="328"/>
      <c r="E66" s="328"/>
      <c r="F66" s="339"/>
      <c r="G66" s="335"/>
      <c r="H66" s="329"/>
      <c r="I66" s="328"/>
    </row>
    <row r="67" spans="1:9" x14ac:dyDescent="0.35">
      <c r="A67" s="323" t="s">
        <v>261</v>
      </c>
      <c r="B67" s="335"/>
      <c r="C67" s="329"/>
      <c r="D67" s="328"/>
      <c r="E67" s="328"/>
      <c r="F67" s="339"/>
      <c r="G67" s="335"/>
      <c r="H67" s="329"/>
      <c r="I67" s="328"/>
    </row>
    <row r="68" spans="1:9" x14ac:dyDescent="0.35">
      <c r="A68" s="323" t="s">
        <v>262</v>
      </c>
      <c r="B68" s="335"/>
      <c r="C68" s="329"/>
      <c r="D68" s="328"/>
      <c r="E68" s="328"/>
      <c r="F68" s="339"/>
      <c r="G68" s="335"/>
      <c r="H68" s="329"/>
      <c r="I68" s="328"/>
    </row>
    <row r="69" spans="1:9" x14ac:dyDescent="0.35">
      <c r="A69" s="323" t="s">
        <v>263</v>
      </c>
      <c r="B69" s="335"/>
      <c r="C69" s="329"/>
      <c r="D69" s="328"/>
      <c r="E69" s="328"/>
      <c r="F69" s="339"/>
      <c r="G69" s="335"/>
      <c r="H69" s="329"/>
      <c r="I69" s="328"/>
    </row>
    <row r="70" spans="1:9" ht="15" thickBot="1" x14ac:dyDescent="0.4">
      <c r="A70" s="324" t="s">
        <v>264</v>
      </c>
      <c r="B70" s="336"/>
      <c r="C70" s="325"/>
      <c r="D70" s="259"/>
      <c r="E70" s="259"/>
      <c r="F70" s="340"/>
      <c r="G70" s="336"/>
      <c r="H70" s="325"/>
      <c r="I70" s="259"/>
    </row>
  </sheetData>
  <pageMargins left="0.7" right="0.7" top="0.75" bottom="0.75" header="0.3" footer="0.3"/>
  <pageSetup paperSize="9" scale="67"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CC"/>
  </sheetPr>
  <dimension ref="A1:I138"/>
  <sheetViews>
    <sheetView view="pageBreakPreview" zoomScale="80" zoomScaleNormal="80" zoomScaleSheetLayoutView="80" workbookViewId="0">
      <selection activeCell="N18" sqref="N18"/>
    </sheetView>
  </sheetViews>
  <sheetFormatPr defaultColWidth="8.81640625" defaultRowHeight="14.5" x14ac:dyDescent="0.35"/>
  <cols>
    <col min="1" max="1" width="26" customWidth="1"/>
    <col min="2" max="2" width="11.453125" customWidth="1"/>
    <col min="4" max="4" width="20.81640625" customWidth="1"/>
    <col min="6" max="8" width="12.453125" bestFit="1" customWidth="1"/>
    <col min="9" max="9" width="13.1796875" bestFit="1" customWidth="1"/>
  </cols>
  <sheetData>
    <row r="1" spans="1:9" ht="15" thickBot="1" x14ac:dyDescent="0.4"/>
    <row r="2" spans="1:9" x14ac:dyDescent="0.35">
      <c r="A2" s="841">
        <f>'Parametre - Agendové IS'!G1</f>
        <v>0</v>
      </c>
      <c r="B2" s="842"/>
      <c r="C2" s="843"/>
      <c r="D2" s="847" t="s">
        <v>107</v>
      </c>
      <c r="E2" s="848"/>
      <c r="F2" s="371" t="s">
        <v>167</v>
      </c>
      <c r="G2" s="371" t="s">
        <v>168</v>
      </c>
      <c r="H2" s="371" t="s">
        <v>169</v>
      </c>
      <c r="I2" s="371" t="s">
        <v>171</v>
      </c>
    </row>
    <row r="3" spans="1:9" ht="15" thickBot="1" x14ac:dyDescent="0.4">
      <c r="A3" s="844"/>
      <c r="B3" s="845"/>
      <c r="C3" s="846"/>
      <c r="D3" s="591" t="s">
        <v>358</v>
      </c>
      <c r="E3" s="592" t="s">
        <v>170</v>
      </c>
      <c r="F3" s="192" t="s">
        <v>170</v>
      </c>
      <c r="G3" s="192" t="s">
        <v>170</v>
      </c>
      <c r="H3" s="192" t="s">
        <v>170</v>
      </c>
      <c r="I3" s="192" t="s">
        <v>170</v>
      </c>
    </row>
    <row r="4" spans="1:9" ht="15" customHeight="1" x14ac:dyDescent="0.35">
      <c r="A4" s="835" t="s">
        <v>43</v>
      </c>
      <c r="B4" s="838" t="s">
        <v>188</v>
      </c>
      <c r="C4" s="193" t="s">
        <v>25</v>
      </c>
      <c r="D4" s="593" t="str">
        <f>IF(E4='Parametre - Agendové IS'!H86,"OK","Chyba počtu FTE")</f>
        <v>Chyba počtu FTE</v>
      </c>
      <c r="E4" s="594">
        <f t="shared" ref="E4:E33" si="0">F4+G4+H4+I4</f>
        <v>0</v>
      </c>
      <c r="F4" s="258"/>
      <c r="G4" s="258"/>
      <c r="H4" s="258"/>
      <c r="I4" s="258"/>
    </row>
    <row r="5" spans="1:9" x14ac:dyDescent="0.35">
      <c r="A5" s="836"/>
      <c r="B5" s="839"/>
      <c r="C5" s="190" t="s">
        <v>26</v>
      </c>
      <c r="D5" s="595" t="str">
        <f>IF(E5='Parametre - Agendové IS'!H87,"OK","Chyba počtu FTE")</f>
        <v>Chyba počtu FTE</v>
      </c>
      <c r="E5" s="596">
        <f t="shared" si="0"/>
        <v>0</v>
      </c>
      <c r="F5" s="259"/>
      <c r="G5" s="259"/>
      <c r="H5" s="259"/>
      <c r="I5" s="259"/>
    </row>
    <row r="6" spans="1:9" x14ac:dyDescent="0.35">
      <c r="A6" s="836"/>
      <c r="B6" s="839"/>
      <c r="C6" s="190" t="s">
        <v>27</v>
      </c>
      <c r="D6" s="595" t="str">
        <f>IF(E6='Parametre - Agendové IS'!H88,"OK","Chyba počtu FTE")</f>
        <v>Chyba počtu FTE</v>
      </c>
      <c r="E6" s="596">
        <f t="shared" si="0"/>
        <v>0</v>
      </c>
      <c r="F6" s="259"/>
      <c r="G6" s="259"/>
      <c r="H6" s="259"/>
      <c r="I6" s="259"/>
    </row>
    <row r="7" spans="1:9" x14ac:dyDescent="0.35">
      <c r="A7" s="836"/>
      <c r="B7" s="839"/>
      <c r="C7" s="190" t="s">
        <v>28</v>
      </c>
      <c r="D7" s="595" t="str">
        <f>IF(E7='Parametre - Agendové IS'!H89,"OK","Chyba počtu FTE")</f>
        <v>Chyba počtu FTE</v>
      </c>
      <c r="E7" s="596">
        <f t="shared" si="0"/>
        <v>0</v>
      </c>
      <c r="F7" s="259"/>
      <c r="G7" s="259"/>
      <c r="H7" s="259"/>
      <c r="I7" s="259"/>
    </row>
    <row r="8" spans="1:9" x14ac:dyDescent="0.35">
      <c r="A8" s="836"/>
      <c r="B8" s="839"/>
      <c r="C8" s="190" t="s">
        <v>29</v>
      </c>
      <c r="D8" s="595" t="str">
        <f>IF(E8='Parametre - Agendové IS'!H90,"OK","Chyba počtu FTE")</f>
        <v>Chyba počtu FTE</v>
      </c>
      <c r="E8" s="596">
        <f t="shared" si="0"/>
        <v>0</v>
      </c>
      <c r="F8" s="259"/>
      <c r="G8" s="259"/>
      <c r="H8" s="259"/>
      <c r="I8" s="259"/>
    </row>
    <row r="9" spans="1:9" x14ac:dyDescent="0.35">
      <c r="A9" s="836"/>
      <c r="B9" s="839"/>
      <c r="C9" s="190" t="s">
        <v>30</v>
      </c>
      <c r="D9" s="595" t="str">
        <f>IF(E9='Parametre - Agendové IS'!H91,"OK","Chyba počtu FTE")</f>
        <v>Chyba počtu FTE</v>
      </c>
      <c r="E9" s="596">
        <f t="shared" si="0"/>
        <v>0</v>
      </c>
      <c r="F9" s="259"/>
      <c r="G9" s="259"/>
      <c r="H9" s="259"/>
      <c r="I9" s="259"/>
    </row>
    <row r="10" spans="1:9" x14ac:dyDescent="0.35">
      <c r="A10" s="836"/>
      <c r="B10" s="839"/>
      <c r="C10" s="190" t="s">
        <v>31</v>
      </c>
      <c r="D10" s="595" t="str">
        <f>IF(E10='Parametre - Agendové IS'!H92,"OK","Chyba počtu FTE")</f>
        <v>Chyba počtu FTE</v>
      </c>
      <c r="E10" s="596">
        <f t="shared" si="0"/>
        <v>0</v>
      </c>
      <c r="F10" s="259"/>
      <c r="G10" s="259"/>
      <c r="H10" s="259"/>
      <c r="I10" s="259"/>
    </row>
    <row r="11" spans="1:9" x14ac:dyDescent="0.35">
      <c r="A11" s="836"/>
      <c r="B11" s="839"/>
      <c r="C11" s="190" t="s">
        <v>32</v>
      </c>
      <c r="D11" s="595" t="str">
        <f>IF(E11='Parametre - Agendové IS'!H93,"OK","Chyba počtu FTE")</f>
        <v>Chyba počtu FTE</v>
      </c>
      <c r="E11" s="596">
        <f t="shared" si="0"/>
        <v>0</v>
      </c>
      <c r="F11" s="259"/>
      <c r="G11" s="259"/>
      <c r="H11" s="259"/>
      <c r="I11" s="259"/>
    </row>
    <row r="12" spans="1:9" x14ac:dyDescent="0.35">
      <c r="A12" s="836"/>
      <c r="B12" s="839"/>
      <c r="C12" s="190" t="s">
        <v>33</v>
      </c>
      <c r="D12" s="595" t="str">
        <f>IF(E12='Parametre - Agendové IS'!H94,"OK","Chyba počtu FTE")</f>
        <v>Chyba počtu FTE</v>
      </c>
      <c r="E12" s="596">
        <f t="shared" si="0"/>
        <v>0</v>
      </c>
      <c r="F12" s="259"/>
      <c r="G12" s="259"/>
      <c r="H12" s="259"/>
      <c r="I12" s="259"/>
    </row>
    <row r="13" spans="1:9" ht="15" thickBot="1" x14ac:dyDescent="0.4">
      <c r="A13" s="836"/>
      <c r="B13" s="839"/>
      <c r="C13" s="190" t="s">
        <v>34</v>
      </c>
      <c r="D13" s="597" t="str">
        <f>IF(E13='Parametre - Agendové IS'!H95,"OK","Chyba počtu FTE")</f>
        <v>Chyba počtu FTE</v>
      </c>
      <c r="E13" s="598">
        <f t="shared" si="0"/>
        <v>0</v>
      </c>
      <c r="F13" s="260"/>
      <c r="G13" s="260"/>
      <c r="H13" s="260"/>
      <c r="I13" s="260"/>
    </row>
    <row r="14" spans="1:9" ht="15" customHeight="1" x14ac:dyDescent="0.35">
      <c r="A14" s="835" t="s">
        <v>41</v>
      </c>
      <c r="B14" s="838" t="s">
        <v>37</v>
      </c>
      <c r="C14" s="193" t="s">
        <v>25</v>
      </c>
      <c r="D14" s="594" t="str">
        <f>IF(E14='Parametre - Agendové IS'!H5,"OK","Chyba počtu podaní")</f>
        <v>Chyba počtu podaní</v>
      </c>
      <c r="E14" s="599">
        <f t="shared" si="0"/>
        <v>0</v>
      </c>
      <c r="F14" s="258"/>
      <c r="G14" s="258"/>
      <c r="H14" s="258"/>
      <c r="I14" s="258"/>
    </row>
    <row r="15" spans="1:9" x14ac:dyDescent="0.35">
      <c r="A15" s="836"/>
      <c r="B15" s="839"/>
      <c r="C15" s="190" t="s">
        <v>26</v>
      </c>
      <c r="D15" s="595" t="str">
        <f>IF(E15='Parametre - Agendové IS'!H6,"OK","Chyba počtu podaní")</f>
        <v>Chyba počtu podaní</v>
      </c>
      <c r="E15" s="596">
        <f t="shared" si="0"/>
        <v>0</v>
      </c>
      <c r="F15" s="259"/>
      <c r="G15" s="259"/>
      <c r="H15" s="259"/>
      <c r="I15" s="259"/>
    </row>
    <row r="16" spans="1:9" x14ac:dyDescent="0.35">
      <c r="A16" s="836"/>
      <c r="B16" s="839"/>
      <c r="C16" s="190" t="s">
        <v>27</v>
      </c>
      <c r="D16" s="595" t="str">
        <f>IF(E16='Parametre - Agendové IS'!H7,"OK","Chyba počtu podaní")</f>
        <v>Chyba počtu podaní</v>
      </c>
      <c r="E16" s="596">
        <f t="shared" si="0"/>
        <v>0</v>
      </c>
      <c r="F16" s="259"/>
      <c r="G16" s="259"/>
      <c r="H16" s="259"/>
      <c r="I16" s="259"/>
    </row>
    <row r="17" spans="1:9" x14ac:dyDescent="0.35">
      <c r="A17" s="836"/>
      <c r="B17" s="839"/>
      <c r="C17" s="190" t="s">
        <v>28</v>
      </c>
      <c r="D17" s="595" t="str">
        <f>IF(E17='Parametre - Agendové IS'!H8,"OK","Chyba počtu podaní")</f>
        <v>Chyba počtu podaní</v>
      </c>
      <c r="E17" s="596">
        <f t="shared" si="0"/>
        <v>0</v>
      </c>
      <c r="F17" s="259"/>
      <c r="G17" s="259"/>
      <c r="H17" s="259"/>
      <c r="I17" s="259"/>
    </row>
    <row r="18" spans="1:9" x14ac:dyDescent="0.35">
      <c r="A18" s="836"/>
      <c r="B18" s="839"/>
      <c r="C18" s="190" t="s">
        <v>29</v>
      </c>
      <c r="D18" s="595" t="str">
        <f>IF(E18='Parametre - Agendové IS'!H9,"OK","Chyba počtu podaní")</f>
        <v>Chyba počtu podaní</v>
      </c>
      <c r="E18" s="596">
        <f t="shared" si="0"/>
        <v>0</v>
      </c>
      <c r="F18" s="259"/>
      <c r="G18" s="259"/>
      <c r="H18" s="259"/>
      <c r="I18" s="259"/>
    </row>
    <row r="19" spans="1:9" x14ac:dyDescent="0.35">
      <c r="A19" s="836"/>
      <c r="B19" s="839"/>
      <c r="C19" s="190" t="s">
        <v>30</v>
      </c>
      <c r="D19" s="595" t="str">
        <f>IF(E19='Parametre - Agendové IS'!H10,"OK","Chyba počtu podaní")</f>
        <v>Chyba počtu podaní</v>
      </c>
      <c r="E19" s="596">
        <f t="shared" si="0"/>
        <v>0</v>
      </c>
      <c r="F19" s="259"/>
      <c r="G19" s="259"/>
      <c r="H19" s="259"/>
      <c r="I19" s="259"/>
    </row>
    <row r="20" spans="1:9" x14ac:dyDescent="0.35">
      <c r="A20" s="836"/>
      <c r="B20" s="839"/>
      <c r="C20" s="190" t="s">
        <v>31</v>
      </c>
      <c r="D20" s="595" t="str">
        <f>IF(E20='Parametre - Agendové IS'!H11,"OK","Chyba počtu podaní")</f>
        <v>Chyba počtu podaní</v>
      </c>
      <c r="E20" s="596">
        <f t="shared" si="0"/>
        <v>0</v>
      </c>
      <c r="F20" s="259"/>
      <c r="G20" s="259"/>
      <c r="H20" s="259"/>
      <c r="I20" s="259"/>
    </row>
    <row r="21" spans="1:9" x14ac:dyDescent="0.35">
      <c r="A21" s="836"/>
      <c r="B21" s="839"/>
      <c r="C21" s="190" t="s">
        <v>32</v>
      </c>
      <c r="D21" s="595" t="str">
        <f>IF(E21='Parametre - Agendové IS'!H12,"OK","Chyba počtu podaní")</f>
        <v>Chyba počtu podaní</v>
      </c>
      <c r="E21" s="596">
        <f t="shared" si="0"/>
        <v>0</v>
      </c>
      <c r="F21" s="259"/>
      <c r="G21" s="259"/>
      <c r="H21" s="259"/>
      <c r="I21" s="259"/>
    </row>
    <row r="22" spans="1:9" x14ac:dyDescent="0.35">
      <c r="A22" s="836"/>
      <c r="B22" s="839"/>
      <c r="C22" s="190" t="s">
        <v>33</v>
      </c>
      <c r="D22" s="595" t="str">
        <f>IF(E22='Parametre - Agendové IS'!H13,"OK","Chyba počtu podaní")</f>
        <v>Chyba počtu podaní</v>
      </c>
      <c r="E22" s="596">
        <f t="shared" si="0"/>
        <v>0</v>
      </c>
      <c r="F22" s="259"/>
      <c r="G22" s="259"/>
      <c r="H22" s="259"/>
      <c r="I22" s="259"/>
    </row>
    <row r="23" spans="1:9" ht="15" thickBot="1" x14ac:dyDescent="0.4">
      <c r="A23" s="837"/>
      <c r="B23" s="840"/>
      <c r="C23" s="191" t="s">
        <v>34</v>
      </c>
      <c r="D23" s="595" t="str">
        <f>IF(E23='Parametre - Agendové IS'!H14,"OK","Chyba počtu podaní")</f>
        <v>Chyba počtu podaní</v>
      </c>
      <c r="E23" s="596">
        <f t="shared" si="0"/>
        <v>0</v>
      </c>
      <c r="F23" s="259"/>
      <c r="G23" s="259"/>
      <c r="H23" s="259"/>
      <c r="I23" s="259"/>
    </row>
    <row r="24" spans="1:9" x14ac:dyDescent="0.35">
      <c r="A24" s="835" t="s">
        <v>39</v>
      </c>
      <c r="B24" s="838" t="s">
        <v>13</v>
      </c>
      <c r="C24" s="193" t="s">
        <v>25</v>
      </c>
      <c r="D24" s="594" t="str">
        <f>IF(E24='Parametre - Agendové IS'!H126,"OK","Chyba")</f>
        <v>OK</v>
      </c>
      <c r="E24" s="599">
        <f t="shared" si="0"/>
        <v>0</v>
      </c>
      <c r="F24" s="258"/>
      <c r="G24" s="258"/>
      <c r="H24" s="258"/>
      <c r="I24" s="258"/>
    </row>
    <row r="25" spans="1:9" x14ac:dyDescent="0.35">
      <c r="A25" s="836"/>
      <c r="B25" s="839"/>
      <c r="C25" s="190" t="s">
        <v>26</v>
      </c>
      <c r="D25" s="595" t="str">
        <f>IF(E25='Parametre - Agendové IS'!H127,"OK","Chyba")</f>
        <v>OK</v>
      </c>
      <c r="E25" s="596">
        <f t="shared" si="0"/>
        <v>0</v>
      </c>
      <c r="F25" s="259"/>
      <c r="G25" s="259"/>
      <c r="H25" s="259"/>
      <c r="I25" s="259"/>
    </row>
    <row r="26" spans="1:9" x14ac:dyDescent="0.35">
      <c r="A26" s="836"/>
      <c r="B26" s="839"/>
      <c r="C26" s="190" t="s">
        <v>27</v>
      </c>
      <c r="D26" s="595" t="str">
        <f>IF(E26='Parametre - Agendové IS'!H128,"OK","Chyba")</f>
        <v>OK</v>
      </c>
      <c r="E26" s="596">
        <f t="shared" si="0"/>
        <v>0</v>
      </c>
      <c r="F26" s="259"/>
      <c r="G26" s="259"/>
      <c r="H26" s="259"/>
      <c r="I26" s="259"/>
    </row>
    <row r="27" spans="1:9" x14ac:dyDescent="0.35">
      <c r="A27" s="836"/>
      <c r="B27" s="839"/>
      <c r="C27" s="190" t="s">
        <v>28</v>
      </c>
      <c r="D27" s="595" t="str">
        <f>IF(E27='Parametre - Agendové IS'!H129,"OK","Chyba")</f>
        <v>OK</v>
      </c>
      <c r="E27" s="596">
        <f t="shared" si="0"/>
        <v>0</v>
      </c>
      <c r="F27" s="259"/>
      <c r="G27" s="259"/>
      <c r="H27" s="259"/>
      <c r="I27" s="259"/>
    </row>
    <row r="28" spans="1:9" x14ac:dyDescent="0.35">
      <c r="A28" s="836"/>
      <c r="B28" s="839"/>
      <c r="C28" s="190" t="s">
        <v>29</v>
      </c>
      <c r="D28" s="595" t="str">
        <f>IF(E28='Parametre - Agendové IS'!H130,"OK","Chyba")</f>
        <v>OK</v>
      </c>
      <c r="E28" s="596">
        <f t="shared" si="0"/>
        <v>0</v>
      </c>
      <c r="F28" s="259"/>
      <c r="G28" s="259"/>
      <c r="H28" s="259"/>
      <c r="I28" s="259"/>
    </row>
    <row r="29" spans="1:9" x14ac:dyDescent="0.35">
      <c r="A29" s="836"/>
      <c r="B29" s="839"/>
      <c r="C29" s="190" t="s">
        <v>30</v>
      </c>
      <c r="D29" s="595" t="str">
        <f>IF(E29='Parametre - Agendové IS'!H131,"OK","Chyba")</f>
        <v>OK</v>
      </c>
      <c r="E29" s="596">
        <f t="shared" si="0"/>
        <v>0</v>
      </c>
      <c r="F29" s="259"/>
      <c r="G29" s="259"/>
      <c r="H29" s="259"/>
      <c r="I29" s="259"/>
    </row>
    <row r="30" spans="1:9" x14ac:dyDescent="0.35">
      <c r="A30" s="836"/>
      <c r="B30" s="839"/>
      <c r="C30" s="190" t="s">
        <v>31</v>
      </c>
      <c r="D30" s="595" t="str">
        <f>IF(E30='Parametre - Agendové IS'!H132,"OK","Chyba")</f>
        <v>OK</v>
      </c>
      <c r="E30" s="596">
        <f t="shared" si="0"/>
        <v>0</v>
      </c>
      <c r="F30" s="259"/>
      <c r="G30" s="259"/>
      <c r="H30" s="259"/>
      <c r="I30" s="259"/>
    </row>
    <row r="31" spans="1:9" x14ac:dyDescent="0.35">
      <c r="A31" s="836"/>
      <c r="B31" s="839"/>
      <c r="C31" s="190" t="s">
        <v>32</v>
      </c>
      <c r="D31" s="595" t="str">
        <f>IF(E31='Parametre - Agendové IS'!H133,"OK","Chyba")</f>
        <v>OK</v>
      </c>
      <c r="E31" s="596">
        <f t="shared" si="0"/>
        <v>0</v>
      </c>
      <c r="F31" s="259"/>
      <c r="G31" s="259"/>
      <c r="H31" s="259"/>
      <c r="I31" s="259"/>
    </row>
    <row r="32" spans="1:9" x14ac:dyDescent="0.35">
      <c r="A32" s="836"/>
      <c r="B32" s="839"/>
      <c r="C32" s="190" t="s">
        <v>33</v>
      </c>
      <c r="D32" s="595" t="str">
        <f>IF(E32='Parametre - Agendové IS'!H134,"OK","Chyba")</f>
        <v>OK</v>
      </c>
      <c r="E32" s="596">
        <f t="shared" si="0"/>
        <v>0</v>
      </c>
      <c r="F32" s="259"/>
      <c r="G32" s="259"/>
      <c r="H32" s="259"/>
      <c r="I32" s="259"/>
    </row>
    <row r="33" spans="1:9" ht="15" thickBot="1" x14ac:dyDescent="0.4">
      <c r="A33" s="837"/>
      <c r="B33" s="840"/>
      <c r="C33" s="191" t="s">
        <v>34</v>
      </c>
      <c r="D33" s="595" t="str">
        <f>IF(E33='Parametre - Agendové IS'!H135,"OK","Chyba")</f>
        <v>OK</v>
      </c>
      <c r="E33" s="596">
        <f t="shared" si="0"/>
        <v>0</v>
      </c>
      <c r="F33" s="259"/>
      <c r="G33" s="259"/>
      <c r="H33" s="259"/>
      <c r="I33" s="259"/>
    </row>
    <row r="34" spans="1:9" x14ac:dyDescent="0.35">
      <c r="A34" s="187"/>
      <c r="B34" s="188"/>
      <c r="E34" s="189"/>
    </row>
    <row r="35" spans="1:9" x14ac:dyDescent="0.35">
      <c r="A35" s="187"/>
      <c r="B35" s="188"/>
      <c r="E35" s="189"/>
    </row>
    <row r="36" spans="1:9" ht="15" thickBot="1" x14ac:dyDescent="0.4">
      <c r="A36" s="187"/>
      <c r="B36" s="188"/>
      <c r="E36" s="189"/>
    </row>
    <row r="37" spans="1:9" x14ac:dyDescent="0.35">
      <c r="A37" s="841">
        <f>'Parametre - Agendové IS'!J1</f>
        <v>0</v>
      </c>
      <c r="B37" s="842"/>
      <c r="C37" s="843"/>
      <c r="D37" s="847" t="s">
        <v>107</v>
      </c>
      <c r="E37" s="848"/>
      <c r="F37" s="371" t="s">
        <v>167</v>
      </c>
      <c r="G37" s="371" t="s">
        <v>168</v>
      </c>
      <c r="H37" s="371" t="s">
        <v>169</v>
      </c>
      <c r="I37" s="371" t="s">
        <v>171</v>
      </c>
    </row>
    <row r="38" spans="1:9" ht="15" thickBot="1" x14ac:dyDescent="0.4">
      <c r="A38" s="844"/>
      <c r="B38" s="845"/>
      <c r="C38" s="846"/>
      <c r="D38" s="591" t="s">
        <v>358</v>
      </c>
      <c r="E38" s="592" t="s">
        <v>170</v>
      </c>
      <c r="F38" s="192" t="s">
        <v>170</v>
      </c>
      <c r="G38" s="192" t="s">
        <v>170</v>
      </c>
      <c r="H38" s="192" t="s">
        <v>170</v>
      </c>
      <c r="I38" s="192" t="s">
        <v>170</v>
      </c>
    </row>
    <row r="39" spans="1:9" x14ac:dyDescent="0.35">
      <c r="A39" s="835" t="s">
        <v>43</v>
      </c>
      <c r="B39" s="838" t="s">
        <v>188</v>
      </c>
      <c r="C39" s="193" t="s">
        <v>25</v>
      </c>
      <c r="D39" s="593" t="str">
        <f>IF(E39='Parametre - Agendové IS'!K86,"OK","Chyba počtu FTE")</f>
        <v>Chyba počtu FTE</v>
      </c>
      <c r="E39" s="594">
        <f t="shared" ref="E39:E68" si="1">F39+G39+H39+I39</f>
        <v>0</v>
      </c>
      <c r="F39" s="258"/>
      <c r="G39" s="258"/>
      <c r="H39" s="258"/>
      <c r="I39" s="258"/>
    </row>
    <row r="40" spans="1:9" x14ac:dyDescent="0.35">
      <c r="A40" s="836"/>
      <c r="B40" s="839"/>
      <c r="C40" s="190" t="s">
        <v>26</v>
      </c>
      <c r="D40" s="595" t="str">
        <f>IF(E40='Parametre - Agendové IS'!K87,"OK","Chyba počtu FTE")</f>
        <v>Chyba počtu FTE</v>
      </c>
      <c r="E40" s="596">
        <f t="shared" si="1"/>
        <v>0</v>
      </c>
      <c r="F40" s="259"/>
      <c r="G40" s="259"/>
      <c r="H40" s="259"/>
      <c r="I40" s="259"/>
    </row>
    <row r="41" spans="1:9" x14ac:dyDescent="0.35">
      <c r="A41" s="836"/>
      <c r="B41" s="839"/>
      <c r="C41" s="190" t="s">
        <v>27</v>
      </c>
      <c r="D41" s="595" t="str">
        <f>IF(E41='Parametre - Agendové IS'!K88,"OK","Chyba počtu FTE")</f>
        <v>Chyba počtu FTE</v>
      </c>
      <c r="E41" s="596">
        <f t="shared" si="1"/>
        <v>0</v>
      </c>
      <c r="F41" s="259"/>
      <c r="G41" s="259"/>
      <c r="H41" s="259"/>
      <c r="I41" s="259"/>
    </row>
    <row r="42" spans="1:9" x14ac:dyDescent="0.35">
      <c r="A42" s="836"/>
      <c r="B42" s="839"/>
      <c r="C42" s="190" t="s">
        <v>28</v>
      </c>
      <c r="D42" s="595" t="str">
        <f>IF(E42='Parametre - Agendové IS'!K89,"OK","Chyba počtu FTE")</f>
        <v>Chyba počtu FTE</v>
      </c>
      <c r="E42" s="596">
        <f t="shared" si="1"/>
        <v>0</v>
      </c>
      <c r="F42" s="259"/>
      <c r="G42" s="259"/>
      <c r="H42" s="259"/>
      <c r="I42" s="259"/>
    </row>
    <row r="43" spans="1:9" x14ac:dyDescent="0.35">
      <c r="A43" s="836"/>
      <c r="B43" s="839"/>
      <c r="C43" s="190" t="s">
        <v>29</v>
      </c>
      <c r="D43" s="595" t="str">
        <f>IF(E43='Parametre - Agendové IS'!K90,"OK","Chyba počtu FTE")</f>
        <v>Chyba počtu FTE</v>
      </c>
      <c r="E43" s="596">
        <f t="shared" si="1"/>
        <v>0</v>
      </c>
      <c r="F43" s="259"/>
      <c r="G43" s="259"/>
      <c r="H43" s="259"/>
      <c r="I43" s="259"/>
    </row>
    <row r="44" spans="1:9" ht="15" customHeight="1" x14ac:dyDescent="0.35">
      <c r="A44" s="836"/>
      <c r="B44" s="839"/>
      <c r="C44" s="190" t="s">
        <v>30</v>
      </c>
      <c r="D44" s="595" t="str">
        <f>IF(E44='Parametre - Agendové IS'!K91,"OK","Chyba počtu FTE")</f>
        <v>Chyba počtu FTE</v>
      </c>
      <c r="E44" s="596">
        <f t="shared" si="1"/>
        <v>0</v>
      </c>
      <c r="F44" s="259"/>
      <c r="G44" s="259"/>
      <c r="H44" s="259"/>
      <c r="I44" s="259"/>
    </row>
    <row r="45" spans="1:9" x14ac:dyDescent="0.35">
      <c r="A45" s="836"/>
      <c r="B45" s="839"/>
      <c r="C45" s="190" t="s">
        <v>31</v>
      </c>
      <c r="D45" s="595" t="str">
        <f>IF(E45='Parametre - Agendové IS'!K92,"OK","Chyba počtu FTE")</f>
        <v>Chyba počtu FTE</v>
      </c>
      <c r="E45" s="596">
        <f t="shared" si="1"/>
        <v>0</v>
      </c>
      <c r="F45" s="259"/>
      <c r="G45" s="259"/>
      <c r="H45" s="259"/>
      <c r="I45" s="259"/>
    </row>
    <row r="46" spans="1:9" x14ac:dyDescent="0.35">
      <c r="A46" s="836"/>
      <c r="B46" s="839"/>
      <c r="C46" s="190" t="s">
        <v>32</v>
      </c>
      <c r="D46" s="595" t="str">
        <f>IF(E46='Parametre - Agendové IS'!K93,"OK","Chyba počtu FTE")</f>
        <v>Chyba počtu FTE</v>
      </c>
      <c r="E46" s="596">
        <f t="shared" si="1"/>
        <v>0</v>
      </c>
      <c r="F46" s="259"/>
      <c r="G46" s="259"/>
      <c r="H46" s="259"/>
      <c r="I46" s="259"/>
    </row>
    <row r="47" spans="1:9" x14ac:dyDescent="0.35">
      <c r="A47" s="836"/>
      <c r="B47" s="839"/>
      <c r="C47" s="190" t="s">
        <v>33</v>
      </c>
      <c r="D47" s="595" t="str">
        <f>IF(E47='Parametre - Agendové IS'!K94,"OK","Chyba počtu FTE")</f>
        <v>Chyba počtu FTE</v>
      </c>
      <c r="E47" s="596">
        <f t="shared" si="1"/>
        <v>0</v>
      </c>
      <c r="F47" s="259"/>
      <c r="G47" s="259"/>
      <c r="H47" s="259"/>
      <c r="I47" s="259"/>
    </row>
    <row r="48" spans="1:9" ht="15" thickBot="1" x14ac:dyDescent="0.4">
      <c r="A48" s="836"/>
      <c r="B48" s="839"/>
      <c r="C48" s="190" t="s">
        <v>34</v>
      </c>
      <c r="D48" s="597" t="str">
        <f>IF(E48='Parametre - Agendové IS'!K95,"OK","Chyba počtu FTE")</f>
        <v>Chyba počtu FTE</v>
      </c>
      <c r="E48" s="598">
        <f t="shared" si="1"/>
        <v>0</v>
      </c>
      <c r="F48" s="260"/>
      <c r="G48" s="260"/>
      <c r="H48" s="260"/>
      <c r="I48" s="260"/>
    </row>
    <row r="49" spans="1:9" x14ac:dyDescent="0.35">
      <c r="A49" s="835" t="s">
        <v>41</v>
      </c>
      <c r="B49" s="838" t="s">
        <v>37</v>
      </c>
      <c r="C49" s="193" t="s">
        <v>25</v>
      </c>
      <c r="D49" s="594" t="str">
        <f>IF(E49='Parametre - Agendové IS'!K5,"OK","Chyba počtu podaní")</f>
        <v>Chyba počtu podaní</v>
      </c>
      <c r="E49" s="599">
        <f t="shared" si="1"/>
        <v>0</v>
      </c>
      <c r="F49" s="258"/>
      <c r="G49" s="258"/>
      <c r="H49" s="258"/>
      <c r="I49" s="258"/>
    </row>
    <row r="50" spans="1:9" x14ac:dyDescent="0.35">
      <c r="A50" s="836"/>
      <c r="B50" s="839"/>
      <c r="C50" s="190" t="s">
        <v>26</v>
      </c>
      <c r="D50" s="595" t="str">
        <f>IF(E50='Parametre - Agendové IS'!K6,"OK","Chyba počtu podaní")</f>
        <v>Chyba počtu podaní</v>
      </c>
      <c r="E50" s="596">
        <f t="shared" si="1"/>
        <v>0</v>
      </c>
      <c r="F50" s="259"/>
      <c r="G50" s="259"/>
      <c r="H50" s="259"/>
      <c r="I50" s="259"/>
    </row>
    <row r="51" spans="1:9" x14ac:dyDescent="0.35">
      <c r="A51" s="836"/>
      <c r="B51" s="839"/>
      <c r="C51" s="190" t="s">
        <v>27</v>
      </c>
      <c r="D51" s="595" t="str">
        <f>IF(E51='Parametre - Agendové IS'!K7,"OK","Chyba počtu podaní")</f>
        <v>Chyba počtu podaní</v>
      </c>
      <c r="E51" s="596">
        <f t="shared" si="1"/>
        <v>0</v>
      </c>
      <c r="F51" s="259"/>
      <c r="G51" s="259"/>
      <c r="H51" s="259"/>
      <c r="I51" s="259"/>
    </row>
    <row r="52" spans="1:9" x14ac:dyDescent="0.35">
      <c r="A52" s="836"/>
      <c r="B52" s="839"/>
      <c r="C52" s="190" t="s">
        <v>28</v>
      </c>
      <c r="D52" s="595" t="str">
        <f>IF(E52='Parametre - Agendové IS'!K8,"OK","Chyba počtu podaní")</f>
        <v>Chyba počtu podaní</v>
      </c>
      <c r="E52" s="596">
        <f t="shared" si="1"/>
        <v>0</v>
      </c>
      <c r="F52" s="259"/>
      <c r="G52" s="259"/>
      <c r="H52" s="259"/>
      <c r="I52" s="259"/>
    </row>
    <row r="53" spans="1:9" x14ac:dyDescent="0.35">
      <c r="A53" s="836"/>
      <c r="B53" s="839"/>
      <c r="C53" s="190" t="s">
        <v>29</v>
      </c>
      <c r="D53" s="595" t="str">
        <f>IF(E53='Parametre - Agendové IS'!K9,"OK","Chyba počtu podaní")</f>
        <v>Chyba počtu podaní</v>
      </c>
      <c r="E53" s="596">
        <f t="shared" si="1"/>
        <v>0</v>
      </c>
      <c r="F53" s="259"/>
      <c r="G53" s="259"/>
      <c r="H53" s="259"/>
      <c r="I53" s="259"/>
    </row>
    <row r="54" spans="1:9" x14ac:dyDescent="0.35">
      <c r="A54" s="836"/>
      <c r="B54" s="839"/>
      <c r="C54" s="190" t="s">
        <v>30</v>
      </c>
      <c r="D54" s="595" t="str">
        <f>IF(E54='Parametre - Agendové IS'!K10,"OK","Chyba počtu podaní")</f>
        <v>Chyba počtu podaní</v>
      </c>
      <c r="E54" s="596">
        <f t="shared" si="1"/>
        <v>0</v>
      </c>
      <c r="F54" s="259"/>
      <c r="G54" s="259"/>
      <c r="H54" s="259"/>
      <c r="I54" s="259"/>
    </row>
    <row r="55" spans="1:9" x14ac:dyDescent="0.35">
      <c r="A55" s="836"/>
      <c r="B55" s="839"/>
      <c r="C55" s="190" t="s">
        <v>31</v>
      </c>
      <c r="D55" s="595" t="str">
        <f>IF(E55='Parametre - Agendové IS'!K11,"OK","Chyba počtu podaní")</f>
        <v>Chyba počtu podaní</v>
      </c>
      <c r="E55" s="596">
        <f t="shared" si="1"/>
        <v>0</v>
      </c>
      <c r="F55" s="259"/>
      <c r="G55" s="259"/>
      <c r="H55" s="259"/>
      <c r="I55" s="259"/>
    </row>
    <row r="56" spans="1:9" x14ac:dyDescent="0.35">
      <c r="A56" s="836"/>
      <c r="B56" s="839"/>
      <c r="C56" s="190" t="s">
        <v>32</v>
      </c>
      <c r="D56" s="595" t="str">
        <f>IF(E56='Parametre - Agendové IS'!K12,"OK","Chyba počtu podaní")</f>
        <v>Chyba počtu podaní</v>
      </c>
      <c r="E56" s="596">
        <f t="shared" si="1"/>
        <v>0</v>
      </c>
      <c r="F56" s="259"/>
      <c r="G56" s="259"/>
      <c r="H56" s="259"/>
      <c r="I56" s="259"/>
    </row>
    <row r="57" spans="1:9" x14ac:dyDescent="0.35">
      <c r="A57" s="836"/>
      <c r="B57" s="839"/>
      <c r="C57" s="190" t="s">
        <v>33</v>
      </c>
      <c r="D57" s="595" t="str">
        <f>IF(E57='Parametre - Agendové IS'!K13,"OK","Chyba počtu podaní")</f>
        <v>Chyba počtu podaní</v>
      </c>
      <c r="E57" s="596">
        <f t="shared" si="1"/>
        <v>0</v>
      </c>
      <c r="F57" s="259"/>
      <c r="G57" s="259"/>
      <c r="H57" s="259"/>
      <c r="I57" s="259"/>
    </row>
    <row r="58" spans="1:9" ht="15" thickBot="1" x14ac:dyDescent="0.4">
      <c r="A58" s="837"/>
      <c r="B58" s="840"/>
      <c r="C58" s="191" t="s">
        <v>34</v>
      </c>
      <c r="D58" s="595" t="str">
        <f>IF(E58='Parametre - Agendové IS'!K14,"OK","Chyba počtu podaní")</f>
        <v>Chyba počtu podaní</v>
      </c>
      <c r="E58" s="596">
        <f t="shared" si="1"/>
        <v>0</v>
      </c>
      <c r="F58" s="259"/>
      <c r="G58" s="259"/>
      <c r="H58" s="259"/>
      <c r="I58" s="259"/>
    </row>
    <row r="59" spans="1:9" x14ac:dyDescent="0.35">
      <c r="A59" s="835" t="s">
        <v>39</v>
      </c>
      <c r="B59" s="838" t="s">
        <v>13</v>
      </c>
      <c r="C59" s="193" t="s">
        <v>25</v>
      </c>
      <c r="D59" s="594" t="str">
        <f>IF(E59='Parametre - Agendové IS'!K126,"OK","Chyba")</f>
        <v>OK</v>
      </c>
      <c r="E59" s="599">
        <f t="shared" si="1"/>
        <v>0</v>
      </c>
      <c r="F59" s="258"/>
      <c r="G59" s="258"/>
      <c r="H59" s="258"/>
      <c r="I59" s="258"/>
    </row>
    <row r="60" spans="1:9" x14ac:dyDescent="0.35">
      <c r="A60" s="836"/>
      <c r="B60" s="839"/>
      <c r="C60" s="190" t="s">
        <v>26</v>
      </c>
      <c r="D60" s="595" t="str">
        <f>IF(E60='Parametre - Agendové IS'!K127,"OK","Chyba")</f>
        <v>OK</v>
      </c>
      <c r="E60" s="596">
        <f t="shared" si="1"/>
        <v>0</v>
      </c>
      <c r="F60" s="259"/>
      <c r="G60" s="259"/>
      <c r="H60" s="259"/>
      <c r="I60" s="259"/>
    </row>
    <row r="61" spans="1:9" x14ac:dyDescent="0.35">
      <c r="A61" s="836"/>
      <c r="B61" s="839"/>
      <c r="C61" s="190" t="s">
        <v>27</v>
      </c>
      <c r="D61" s="595" t="str">
        <f>IF(E61='Parametre - Agendové IS'!K128,"OK","Chyba")</f>
        <v>OK</v>
      </c>
      <c r="E61" s="596">
        <f t="shared" si="1"/>
        <v>0</v>
      </c>
      <c r="F61" s="259"/>
      <c r="G61" s="259"/>
      <c r="H61" s="259"/>
      <c r="I61" s="259"/>
    </row>
    <row r="62" spans="1:9" x14ac:dyDescent="0.35">
      <c r="A62" s="836"/>
      <c r="B62" s="839"/>
      <c r="C62" s="190" t="s">
        <v>28</v>
      </c>
      <c r="D62" s="595" t="str">
        <f>IF(E62='Parametre - Agendové IS'!K129,"OK","Chyba")</f>
        <v>OK</v>
      </c>
      <c r="E62" s="596">
        <f t="shared" si="1"/>
        <v>0</v>
      </c>
      <c r="F62" s="259"/>
      <c r="G62" s="259"/>
      <c r="H62" s="259"/>
      <c r="I62" s="259"/>
    </row>
    <row r="63" spans="1:9" x14ac:dyDescent="0.35">
      <c r="A63" s="836"/>
      <c r="B63" s="839"/>
      <c r="C63" s="190" t="s">
        <v>29</v>
      </c>
      <c r="D63" s="595" t="str">
        <f>IF(E63='Parametre - Agendové IS'!K130,"OK","Chyba")</f>
        <v>OK</v>
      </c>
      <c r="E63" s="596">
        <f t="shared" si="1"/>
        <v>0</v>
      </c>
      <c r="F63" s="259"/>
      <c r="G63" s="259"/>
      <c r="H63" s="259"/>
      <c r="I63" s="259"/>
    </row>
    <row r="64" spans="1:9" x14ac:dyDescent="0.35">
      <c r="A64" s="836"/>
      <c r="B64" s="839"/>
      <c r="C64" s="190" t="s">
        <v>30</v>
      </c>
      <c r="D64" s="595" t="str">
        <f>IF(E64='Parametre - Agendové IS'!K131,"OK","Chyba")</f>
        <v>OK</v>
      </c>
      <c r="E64" s="596">
        <f t="shared" si="1"/>
        <v>0</v>
      </c>
      <c r="F64" s="259"/>
      <c r="G64" s="259"/>
      <c r="H64" s="259"/>
      <c r="I64" s="259"/>
    </row>
    <row r="65" spans="1:9" x14ac:dyDescent="0.35">
      <c r="A65" s="836"/>
      <c r="B65" s="839"/>
      <c r="C65" s="190" t="s">
        <v>31</v>
      </c>
      <c r="D65" s="595" t="str">
        <f>IF(E65='Parametre - Agendové IS'!K132,"OK","Chyba")</f>
        <v>OK</v>
      </c>
      <c r="E65" s="596">
        <f t="shared" si="1"/>
        <v>0</v>
      </c>
      <c r="F65" s="259"/>
      <c r="G65" s="259"/>
      <c r="H65" s="259"/>
      <c r="I65" s="259"/>
    </row>
    <row r="66" spans="1:9" x14ac:dyDescent="0.35">
      <c r="A66" s="836"/>
      <c r="B66" s="839"/>
      <c r="C66" s="190" t="s">
        <v>32</v>
      </c>
      <c r="D66" s="595" t="str">
        <f>IF(E66='Parametre - Agendové IS'!K133,"OK","Chyba")</f>
        <v>OK</v>
      </c>
      <c r="E66" s="596">
        <f t="shared" si="1"/>
        <v>0</v>
      </c>
      <c r="F66" s="259"/>
      <c r="G66" s="259"/>
      <c r="H66" s="259"/>
      <c r="I66" s="259"/>
    </row>
    <row r="67" spans="1:9" x14ac:dyDescent="0.35">
      <c r="A67" s="836"/>
      <c r="B67" s="839"/>
      <c r="C67" s="190" t="s">
        <v>33</v>
      </c>
      <c r="D67" s="595" t="str">
        <f>IF(E67='Parametre - Agendové IS'!K134,"OK","Chyba")</f>
        <v>OK</v>
      </c>
      <c r="E67" s="596">
        <f t="shared" si="1"/>
        <v>0</v>
      </c>
      <c r="F67" s="259"/>
      <c r="G67" s="259"/>
      <c r="H67" s="259"/>
      <c r="I67" s="259"/>
    </row>
    <row r="68" spans="1:9" ht="15" thickBot="1" x14ac:dyDescent="0.4">
      <c r="A68" s="837"/>
      <c r="B68" s="840"/>
      <c r="C68" s="191" t="s">
        <v>34</v>
      </c>
      <c r="D68" s="595" t="str">
        <f>IF(E68='Parametre - Agendové IS'!K135,"OK","Chyba")</f>
        <v>OK</v>
      </c>
      <c r="E68" s="596">
        <f t="shared" si="1"/>
        <v>0</v>
      </c>
      <c r="F68" s="259"/>
      <c r="G68" s="259"/>
      <c r="H68" s="259"/>
      <c r="I68" s="259"/>
    </row>
    <row r="71" spans="1:9" ht="15" thickBot="1" x14ac:dyDescent="0.4"/>
    <row r="72" spans="1:9" x14ac:dyDescent="0.35">
      <c r="A72" s="841">
        <f>'Parametre - Agendové IS'!M1</f>
        <v>0</v>
      </c>
      <c r="B72" s="842"/>
      <c r="C72" s="843"/>
      <c r="D72" s="847" t="s">
        <v>107</v>
      </c>
      <c r="E72" s="848"/>
      <c r="F72" s="371" t="s">
        <v>167</v>
      </c>
      <c r="G72" s="371" t="s">
        <v>168</v>
      </c>
      <c r="H72" s="371" t="s">
        <v>169</v>
      </c>
      <c r="I72" s="371" t="s">
        <v>171</v>
      </c>
    </row>
    <row r="73" spans="1:9" ht="15" thickBot="1" x14ac:dyDescent="0.4">
      <c r="A73" s="844"/>
      <c r="B73" s="845"/>
      <c r="C73" s="846"/>
      <c r="D73" s="591" t="s">
        <v>358</v>
      </c>
      <c r="E73" s="592" t="s">
        <v>170</v>
      </c>
      <c r="F73" s="192" t="s">
        <v>170</v>
      </c>
      <c r="G73" s="192" t="s">
        <v>170</v>
      </c>
      <c r="H73" s="192" t="s">
        <v>170</v>
      </c>
      <c r="I73" s="192" t="s">
        <v>170</v>
      </c>
    </row>
    <row r="74" spans="1:9" x14ac:dyDescent="0.35">
      <c r="A74" s="835" t="s">
        <v>43</v>
      </c>
      <c r="B74" s="838" t="s">
        <v>188</v>
      </c>
      <c r="C74" s="193" t="s">
        <v>25</v>
      </c>
      <c r="D74" s="593" t="str">
        <f>IF(E74='Parametre - Agendové IS'!N86,"OK","Chyba počtu FTE")</f>
        <v>Chyba počtu FTE</v>
      </c>
      <c r="E74" s="594">
        <f t="shared" ref="E74:E103" si="2">F74+G74+H74+I74</f>
        <v>0</v>
      </c>
      <c r="F74" s="258"/>
      <c r="G74" s="258"/>
      <c r="H74" s="258"/>
      <c r="I74" s="258"/>
    </row>
    <row r="75" spans="1:9" x14ac:dyDescent="0.35">
      <c r="A75" s="836"/>
      <c r="B75" s="839"/>
      <c r="C75" s="190" t="s">
        <v>26</v>
      </c>
      <c r="D75" s="595" t="str">
        <f>IF(E75='Parametre - Agendové IS'!N87,"OK","Chyba počtu FTE")</f>
        <v>Chyba počtu FTE</v>
      </c>
      <c r="E75" s="596">
        <f t="shared" si="2"/>
        <v>0</v>
      </c>
      <c r="F75" s="259"/>
      <c r="G75" s="259"/>
      <c r="H75" s="259"/>
      <c r="I75" s="259"/>
    </row>
    <row r="76" spans="1:9" x14ac:dyDescent="0.35">
      <c r="A76" s="836"/>
      <c r="B76" s="839"/>
      <c r="C76" s="190" t="s">
        <v>27</v>
      </c>
      <c r="D76" s="595" t="str">
        <f>IF(E76='Parametre - Agendové IS'!N88,"OK","Chyba počtu FTE")</f>
        <v>Chyba počtu FTE</v>
      </c>
      <c r="E76" s="596">
        <f t="shared" si="2"/>
        <v>0</v>
      </c>
      <c r="F76" s="259"/>
      <c r="G76" s="259"/>
      <c r="H76" s="259"/>
      <c r="I76" s="259"/>
    </row>
    <row r="77" spans="1:9" x14ac:dyDescent="0.35">
      <c r="A77" s="836"/>
      <c r="B77" s="839"/>
      <c r="C77" s="190" t="s">
        <v>28</v>
      </c>
      <c r="D77" s="595" t="str">
        <f>IF(E77='Parametre - Agendové IS'!N89,"OK","Chyba počtu FTE")</f>
        <v>Chyba počtu FTE</v>
      </c>
      <c r="E77" s="596">
        <f t="shared" si="2"/>
        <v>0</v>
      </c>
      <c r="F77" s="259"/>
      <c r="G77" s="259"/>
      <c r="H77" s="259"/>
      <c r="I77" s="259"/>
    </row>
    <row r="78" spans="1:9" x14ac:dyDescent="0.35">
      <c r="A78" s="836"/>
      <c r="B78" s="839"/>
      <c r="C78" s="190" t="s">
        <v>29</v>
      </c>
      <c r="D78" s="595" t="str">
        <f>IF(E78='Parametre - Agendové IS'!N90,"OK","Chyba počtu FTE")</f>
        <v>Chyba počtu FTE</v>
      </c>
      <c r="E78" s="596">
        <f t="shared" si="2"/>
        <v>0</v>
      </c>
      <c r="F78" s="259"/>
      <c r="G78" s="259"/>
      <c r="H78" s="259"/>
      <c r="I78" s="259"/>
    </row>
    <row r="79" spans="1:9" x14ac:dyDescent="0.35">
      <c r="A79" s="836"/>
      <c r="B79" s="839"/>
      <c r="C79" s="190" t="s">
        <v>30</v>
      </c>
      <c r="D79" s="595" t="str">
        <f>IF(E79='Parametre - Agendové IS'!N91,"OK","Chyba počtu FTE")</f>
        <v>Chyba počtu FTE</v>
      </c>
      <c r="E79" s="596">
        <f t="shared" si="2"/>
        <v>0</v>
      </c>
      <c r="F79" s="259"/>
      <c r="G79" s="259"/>
      <c r="H79" s="259"/>
      <c r="I79" s="259"/>
    </row>
    <row r="80" spans="1:9" x14ac:dyDescent="0.35">
      <c r="A80" s="836"/>
      <c r="B80" s="839"/>
      <c r="C80" s="190" t="s">
        <v>31</v>
      </c>
      <c r="D80" s="595" t="str">
        <f>IF(E80='Parametre - Agendové IS'!N92,"OK","Chyba počtu FTE")</f>
        <v>Chyba počtu FTE</v>
      </c>
      <c r="E80" s="596">
        <f t="shared" si="2"/>
        <v>0</v>
      </c>
      <c r="F80" s="259"/>
      <c r="G80" s="259"/>
      <c r="H80" s="259"/>
      <c r="I80" s="259"/>
    </row>
    <row r="81" spans="1:9" x14ac:dyDescent="0.35">
      <c r="A81" s="836"/>
      <c r="B81" s="839"/>
      <c r="C81" s="190" t="s">
        <v>32</v>
      </c>
      <c r="D81" s="595" t="str">
        <f>IF(E81='Parametre - Agendové IS'!N93,"OK","Chyba počtu FTE")</f>
        <v>Chyba počtu FTE</v>
      </c>
      <c r="E81" s="596">
        <f t="shared" si="2"/>
        <v>0</v>
      </c>
      <c r="F81" s="259"/>
      <c r="G81" s="259"/>
      <c r="H81" s="259"/>
      <c r="I81" s="259"/>
    </row>
    <row r="82" spans="1:9" x14ac:dyDescent="0.35">
      <c r="A82" s="836"/>
      <c r="B82" s="839"/>
      <c r="C82" s="190" t="s">
        <v>33</v>
      </c>
      <c r="D82" s="595" t="str">
        <f>IF(E82='Parametre - Agendové IS'!N94,"OK","Chyba počtu FTE")</f>
        <v>Chyba počtu FTE</v>
      </c>
      <c r="E82" s="596">
        <f t="shared" si="2"/>
        <v>0</v>
      </c>
      <c r="F82" s="259"/>
      <c r="G82" s="259"/>
      <c r="H82" s="259"/>
      <c r="I82" s="259"/>
    </row>
    <row r="83" spans="1:9" ht="15" thickBot="1" x14ac:dyDescent="0.4">
      <c r="A83" s="836"/>
      <c r="B83" s="839"/>
      <c r="C83" s="190" t="s">
        <v>34</v>
      </c>
      <c r="D83" s="597" t="str">
        <f>IF(E83='Parametre - Agendové IS'!N95,"OK","Chyba počtu FTE")</f>
        <v>Chyba počtu FTE</v>
      </c>
      <c r="E83" s="598">
        <f t="shared" si="2"/>
        <v>0</v>
      </c>
      <c r="F83" s="260"/>
      <c r="G83" s="260"/>
      <c r="H83" s="260"/>
      <c r="I83" s="260"/>
    </row>
    <row r="84" spans="1:9" x14ac:dyDescent="0.35">
      <c r="A84" s="835" t="s">
        <v>41</v>
      </c>
      <c r="B84" s="838" t="s">
        <v>37</v>
      </c>
      <c r="C84" s="193" t="s">
        <v>25</v>
      </c>
      <c r="D84" s="594" t="str">
        <f>IF(E84='Parametre - Agendové IS'!N5,"OK","Chyba počtu podaní")</f>
        <v>Chyba počtu podaní</v>
      </c>
      <c r="E84" s="599">
        <f t="shared" si="2"/>
        <v>0</v>
      </c>
      <c r="F84" s="258"/>
      <c r="G84" s="258"/>
      <c r="H84" s="258"/>
      <c r="I84" s="258"/>
    </row>
    <row r="85" spans="1:9" x14ac:dyDescent="0.35">
      <c r="A85" s="836"/>
      <c r="B85" s="839"/>
      <c r="C85" s="190" t="s">
        <v>26</v>
      </c>
      <c r="D85" s="595" t="str">
        <f>IF(E85='Parametre - Agendové IS'!N6,"OK","Chyba počtu podaní")</f>
        <v>Chyba počtu podaní</v>
      </c>
      <c r="E85" s="596">
        <f t="shared" si="2"/>
        <v>0</v>
      </c>
      <c r="F85" s="259"/>
      <c r="G85" s="259"/>
      <c r="H85" s="259"/>
      <c r="I85" s="259"/>
    </row>
    <row r="86" spans="1:9" x14ac:dyDescent="0.35">
      <c r="A86" s="836"/>
      <c r="B86" s="839"/>
      <c r="C86" s="190" t="s">
        <v>27</v>
      </c>
      <c r="D86" s="595" t="str">
        <f>IF(E86='Parametre - Agendové IS'!N7,"OK","Chyba počtu podaní")</f>
        <v>Chyba počtu podaní</v>
      </c>
      <c r="E86" s="596">
        <f t="shared" si="2"/>
        <v>0</v>
      </c>
      <c r="F86" s="259"/>
      <c r="G86" s="259"/>
      <c r="H86" s="259"/>
      <c r="I86" s="259"/>
    </row>
    <row r="87" spans="1:9" x14ac:dyDescent="0.35">
      <c r="A87" s="836"/>
      <c r="B87" s="839"/>
      <c r="C87" s="190" t="s">
        <v>28</v>
      </c>
      <c r="D87" s="595" t="str">
        <f>IF(E87='Parametre - Agendové IS'!N8,"OK","Chyba počtu podaní")</f>
        <v>Chyba počtu podaní</v>
      </c>
      <c r="E87" s="596">
        <f t="shared" si="2"/>
        <v>0</v>
      </c>
      <c r="F87" s="259"/>
      <c r="G87" s="259"/>
      <c r="H87" s="259"/>
      <c r="I87" s="259"/>
    </row>
    <row r="88" spans="1:9" x14ac:dyDescent="0.35">
      <c r="A88" s="836"/>
      <c r="B88" s="839"/>
      <c r="C88" s="190" t="s">
        <v>29</v>
      </c>
      <c r="D88" s="595" t="str">
        <f>IF(E88='Parametre - Agendové IS'!N9,"OK","Chyba počtu podaní")</f>
        <v>Chyba počtu podaní</v>
      </c>
      <c r="E88" s="596">
        <f t="shared" si="2"/>
        <v>0</v>
      </c>
      <c r="F88" s="259"/>
      <c r="G88" s="259"/>
      <c r="H88" s="259"/>
      <c r="I88" s="259"/>
    </row>
    <row r="89" spans="1:9" x14ac:dyDescent="0.35">
      <c r="A89" s="836"/>
      <c r="B89" s="839"/>
      <c r="C89" s="190" t="s">
        <v>30</v>
      </c>
      <c r="D89" s="595" t="str">
        <f>IF(E89='Parametre - Agendové IS'!N10,"OK","Chyba počtu podaní")</f>
        <v>Chyba počtu podaní</v>
      </c>
      <c r="E89" s="596">
        <f t="shared" si="2"/>
        <v>0</v>
      </c>
      <c r="F89" s="259"/>
      <c r="G89" s="259"/>
      <c r="H89" s="259"/>
      <c r="I89" s="259"/>
    </row>
    <row r="90" spans="1:9" x14ac:dyDescent="0.35">
      <c r="A90" s="836"/>
      <c r="B90" s="839"/>
      <c r="C90" s="190" t="s">
        <v>31</v>
      </c>
      <c r="D90" s="595" t="str">
        <f>IF(E90='Parametre - Agendové IS'!N11,"OK","Chyba počtu podaní")</f>
        <v>Chyba počtu podaní</v>
      </c>
      <c r="E90" s="596">
        <f t="shared" si="2"/>
        <v>0</v>
      </c>
      <c r="F90" s="259"/>
      <c r="G90" s="259"/>
      <c r="H90" s="259"/>
      <c r="I90" s="259"/>
    </row>
    <row r="91" spans="1:9" x14ac:dyDescent="0.35">
      <c r="A91" s="836"/>
      <c r="B91" s="839"/>
      <c r="C91" s="190" t="s">
        <v>32</v>
      </c>
      <c r="D91" s="595" t="str">
        <f>IF(E91='Parametre - Agendové IS'!N12,"OK","Chyba počtu podaní")</f>
        <v>Chyba počtu podaní</v>
      </c>
      <c r="E91" s="596">
        <f t="shared" si="2"/>
        <v>0</v>
      </c>
      <c r="F91" s="259"/>
      <c r="G91" s="259"/>
      <c r="H91" s="259"/>
      <c r="I91" s="259"/>
    </row>
    <row r="92" spans="1:9" x14ac:dyDescent="0.35">
      <c r="A92" s="836"/>
      <c r="B92" s="839"/>
      <c r="C92" s="190" t="s">
        <v>33</v>
      </c>
      <c r="D92" s="595" t="str">
        <f>IF(E92='Parametre - Agendové IS'!N13,"OK","Chyba počtu podaní")</f>
        <v>Chyba počtu podaní</v>
      </c>
      <c r="E92" s="596">
        <f t="shared" si="2"/>
        <v>0</v>
      </c>
      <c r="F92" s="259"/>
      <c r="G92" s="259"/>
      <c r="H92" s="259"/>
      <c r="I92" s="259"/>
    </row>
    <row r="93" spans="1:9" ht="15" thickBot="1" x14ac:dyDescent="0.4">
      <c r="A93" s="837"/>
      <c r="B93" s="840"/>
      <c r="C93" s="191" t="s">
        <v>34</v>
      </c>
      <c r="D93" s="595" t="str">
        <f>IF(E93='Parametre - Agendové IS'!N14,"OK","Chyba počtu podaní")</f>
        <v>Chyba počtu podaní</v>
      </c>
      <c r="E93" s="596">
        <f t="shared" si="2"/>
        <v>0</v>
      </c>
      <c r="F93" s="259"/>
      <c r="G93" s="259"/>
      <c r="H93" s="259"/>
      <c r="I93" s="259"/>
    </row>
    <row r="94" spans="1:9" x14ac:dyDescent="0.35">
      <c r="A94" s="835" t="s">
        <v>39</v>
      </c>
      <c r="B94" s="838" t="s">
        <v>13</v>
      </c>
      <c r="C94" s="193" t="s">
        <v>25</v>
      </c>
      <c r="D94" s="594" t="str">
        <f>IF(E94='Parametre - Agendové IS'!N126,"OK","Chyba")</f>
        <v>OK</v>
      </c>
      <c r="E94" s="599">
        <f t="shared" si="2"/>
        <v>0</v>
      </c>
      <c r="F94" s="258"/>
      <c r="G94" s="258"/>
      <c r="H94" s="258"/>
      <c r="I94" s="258"/>
    </row>
    <row r="95" spans="1:9" x14ac:dyDescent="0.35">
      <c r="A95" s="836"/>
      <c r="B95" s="839"/>
      <c r="C95" s="190" t="s">
        <v>26</v>
      </c>
      <c r="D95" s="595" t="str">
        <f>IF(E95='Parametre - Agendové IS'!N127,"OK","Chyba")</f>
        <v>Chyba</v>
      </c>
      <c r="E95" s="596">
        <f t="shared" si="2"/>
        <v>0</v>
      </c>
      <c r="F95" s="259"/>
      <c r="G95" s="259"/>
      <c r="H95" s="259"/>
      <c r="I95" s="259"/>
    </row>
    <row r="96" spans="1:9" x14ac:dyDescent="0.35">
      <c r="A96" s="836"/>
      <c r="B96" s="839"/>
      <c r="C96" s="190" t="s">
        <v>27</v>
      </c>
      <c r="D96" s="595" t="str">
        <f>IF(E96='Parametre - Agendové IS'!N128,"OK","Chyba")</f>
        <v>Chyba</v>
      </c>
      <c r="E96" s="596">
        <f t="shared" si="2"/>
        <v>0</v>
      </c>
      <c r="F96" s="259"/>
      <c r="G96" s="259"/>
      <c r="H96" s="259"/>
      <c r="I96" s="259"/>
    </row>
    <row r="97" spans="1:9" x14ac:dyDescent="0.35">
      <c r="A97" s="836"/>
      <c r="B97" s="839"/>
      <c r="C97" s="190" t="s">
        <v>28</v>
      </c>
      <c r="D97" s="595" t="str">
        <f>IF(E97='Parametre - Agendové IS'!N129,"OK","Chyba")</f>
        <v>Chyba</v>
      </c>
      <c r="E97" s="596">
        <f t="shared" si="2"/>
        <v>0</v>
      </c>
      <c r="F97" s="259"/>
      <c r="G97" s="259"/>
      <c r="H97" s="259"/>
      <c r="I97" s="259"/>
    </row>
    <row r="98" spans="1:9" x14ac:dyDescent="0.35">
      <c r="A98" s="836"/>
      <c r="B98" s="839"/>
      <c r="C98" s="190" t="s">
        <v>29</v>
      </c>
      <c r="D98" s="595" t="str">
        <f>IF(E98='Parametre - Agendové IS'!N130,"OK","Chyba")</f>
        <v>Chyba</v>
      </c>
      <c r="E98" s="596">
        <f t="shared" si="2"/>
        <v>0</v>
      </c>
      <c r="F98" s="259"/>
      <c r="G98" s="259"/>
      <c r="H98" s="259"/>
      <c r="I98" s="259"/>
    </row>
    <row r="99" spans="1:9" x14ac:dyDescent="0.35">
      <c r="A99" s="836"/>
      <c r="B99" s="839"/>
      <c r="C99" s="190" t="s">
        <v>30</v>
      </c>
      <c r="D99" s="595" t="str">
        <f>IF(E99='Parametre - Agendové IS'!N131,"OK","Chyba")</f>
        <v>Chyba</v>
      </c>
      <c r="E99" s="596">
        <f t="shared" si="2"/>
        <v>0</v>
      </c>
      <c r="F99" s="259"/>
      <c r="G99" s="259"/>
      <c r="H99" s="259"/>
      <c r="I99" s="259"/>
    </row>
    <row r="100" spans="1:9" x14ac:dyDescent="0.35">
      <c r="A100" s="836"/>
      <c r="B100" s="839"/>
      <c r="C100" s="190" t="s">
        <v>31</v>
      </c>
      <c r="D100" s="595" t="str">
        <f>IF(E100='Parametre - Agendové IS'!N132,"OK","Chyba")</f>
        <v>Chyba</v>
      </c>
      <c r="E100" s="596">
        <f t="shared" si="2"/>
        <v>0</v>
      </c>
      <c r="F100" s="259"/>
      <c r="G100" s="259"/>
      <c r="H100" s="259"/>
      <c r="I100" s="259"/>
    </row>
    <row r="101" spans="1:9" x14ac:dyDescent="0.35">
      <c r="A101" s="836"/>
      <c r="B101" s="839"/>
      <c r="C101" s="190" t="s">
        <v>32</v>
      </c>
      <c r="D101" s="595" t="str">
        <f>IF(E101='Parametre - Agendové IS'!N133,"OK","Chyba")</f>
        <v>Chyba</v>
      </c>
      <c r="E101" s="596">
        <f t="shared" si="2"/>
        <v>0</v>
      </c>
      <c r="F101" s="259"/>
      <c r="G101" s="259"/>
      <c r="H101" s="259"/>
      <c r="I101" s="259"/>
    </row>
    <row r="102" spans="1:9" x14ac:dyDescent="0.35">
      <c r="A102" s="836"/>
      <c r="B102" s="839"/>
      <c r="C102" s="190" t="s">
        <v>33</v>
      </c>
      <c r="D102" s="595" t="str">
        <f>IF(E102='Parametre - Agendové IS'!N134,"OK","Chyba")</f>
        <v>Chyba</v>
      </c>
      <c r="E102" s="596">
        <f t="shared" si="2"/>
        <v>0</v>
      </c>
      <c r="F102" s="259"/>
      <c r="G102" s="259"/>
      <c r="H102" s="259"/>
      <c r="I102" s="259"/>
    </row>
    <row r="103" spans="1:9" ht="15" thickBot="1" x14ac:dyDescent="0.4">
      <c r="A103" s="837"/>
      <c r="B103" s="840"/>
      <c r="C103" s="191" t="s">
        <v>34</v>
      </c>
      <c r="D103" s="595" t="str">
        <f>IF(E103='Parametre - Agendové IS'!N135,"OK","Chyba")</f>
        <v>Chyba</v>
      </c>
      <c r="E103" s="596">
        <f t="shared" si="2"/>
        <v>0</v>
      </c>
      <c r="F103" s="259"/>
      <c r="G103" s="259"/>
      <c r="H103" s="259"/>
      <c r="I103" s="259"/>
    </row>
    <row r="106" spans="1:9" ht="15" thickBot="1" x14ac:dyDescent="0.4"/>
    <row r="107" spans="1:9" x14ac:dyDescent="0.35">
      <c r="A107" s="841" t="str">
        <f>'Parametre - Agendové IS'!P1</f>
        <v>Modul N</v>
      </c>
      <c r="B107" s="842"/>
      <c r="C107" s="843"/>
      <c r="D107" s="847" t="s">
        <v>107</v>
      </c>
      <c r="E107" s="848"/>
      <c r="F107" s="371" t="s">
        <v>167</v>
      </c>
      <c r="G107" s="371" t="s">
        <v>168</v>
      </c>
      <c r="H107" s="371" t="s">
        <v>169</v>
      </c>
      <c r="I107" s="371" t="s">
        <v>171</v>
      </c>
    </row>
    <row r="108" spans="1:9" ht="15" thickBot="1" x14ac:dyDescent="0.4">
      <c r="A108" s="844"/>
      <c r="B108" s="845"/>
      <c r="C108" s="846"/>
      <c r="D108" s="591" t="s">
        <v>358</v>
      </c>
      <c r="E108" s="592" t="s">
        <v>170</v>
      </c>
      <c r="F108" s="192" t="s">
        <v>170</v>
      </c>
      <c r="G108" s="192" t="s">
        <v>170</v>
      </c>
      <c r="H108" s="192" t="s">
        <v>170</v>
      </c>
      <c r="I108" s="192" t="s">
        <v>170</v>
      </c>
    </row>
    <row r="109" spans="1:9" x14ac:dyDescent="0.35">
      <c r="A109" s="835" t="s">
        <v>43</v>
      </c>
      <c r="B109" s="838" t="s">
        <v>188</v>
      </c>
      <c r="C109" s="193" t="s">
        <v>25</v>
      </c>
      <c r="D109" s="593" t="str">
        <f>IF(E109='Parametre - Agendové IS'!Q86,"OK","Chyba počtu FTE")</f>
        <v>OK</v>
      </c>
      <c r="E109" s="594">
        <f t="shared" ref="E109:E138" si="3">F109+G109+H109+I109</f>
        <v>0</v>
      </c>
      <c r="F109" s="258"/>
      <c r="G109" s="258"/>
      <c r="H109" s="258"/>
      <c r="I109" s="258"/>
    </row>
    <row r="110" spans="1:9" x14ac:dyDescent="0.35">
      <c r="A110" s="836"/>
      <c r="B110" s="839"/>
      <c r="C110" s="190" t="s">
        <v>26</v>
      </c>
      <c r="D110" s="595" t="str">
        <f>IF(E110='Parametre - Agendové IS'!Q87,"OK","Chyba počtu FTE")</f>
        <v>OK</v>
      </c>
      <c r="E110" s="596">
        <f t="shared" si="3"/>
        <v>0</v>
      </c>
      <c r="F110" s="259"/>
      <c r="G110" s="259"/>
      <c r="H110" s="259"/>
      <c r="I110" s="259"/>
    </row>
    <row r="111" spans="1:9" x14ac:dyDescent="0.35">
      <c r="A111" s="836"/>
      <c r="B111" s="839"/>
      <c r="C111" s="190" t="s">
        <v>27</v>
      </c>
      <c r="D111" s="595" t="str">
        <f>IF(E111='Parametre - Agendové IS'!Q88,"OK","Chyba počtu FTE")</f>
        <v>OK</v>
      </c>
      <c r="E111" s="596">
        <f t="shared" si="3"/>
        <v>0</v>
      </c>
      <c r="F111" s="259"/>
      <c r="G111" s="259"/>
      <c r="H111" s="259"/>
      <c r="I111" s="259"/>
    </row>
    <row r="112" spans="1:9" x14ac:dyDescent="0.35">
      <c r="A112" s="836"/>
      <c r="B112" s="839"/>
      <c r="C112" s="190" t="s">
        <v>28</v>
      </c>
      <c r="D112" s="595" t="str">
        <f>IF(E112='Parametre - Agendové IS'!Q89,"OK","Chyba počtu FTE")</f>
        <v>OK</v>
      </c>
      <c r="E112" s="596">
        <f t="shared" si="3"/>
        <v>0</v>
      </c>
      <c r="F112" s="259"/>
      <c r="G112" s="259"/>
      <c r="H112" s="259"/>
      <c r="I112" s="259"/>
    </row>
    <row r="113" spans="1:9" x14ac:dyDescent="0.35">
      <c r="A113" s="836"/>
      <c r="B113" s="839"/>
      <c r="C113" s="190" t="s">
        <v>29</v>
      </c>
      <c r="D113" s="595" t="str">
        <f>IF(E113='Parametre - Agendové IS'!Q90,"OK","Chyba počtu FTE")</f>
        <v>OK</v>
      </c>
      <c r="E113" s="596">
        <f t="shared" si="3"/>
        <v>0</v>
      </c>
      <c r="F113" s="259"/>
      <c r="G113" s="259"/>
      <c r="H113" s="259"/>
      <c r="I113" s="259"/>
    </row>
    <row r="114" spans="1:9" x14ac:dyDescent="0.35">
      <c r="A114" s="836"/>
      <c r="B114" s="839"/>
      <c r="C114" s="190" t="s">
        <v>30</v>
      </c>
      <c r="D114" s="595" t="str">
        <f>IF(E114='Parametre - Agendové IS'!Q91,"OK","Chyba počtu FTE")</f>
        <v>OK</v>
      </c>
      <c r="E114" s="596">
        <f t="shared" si="3"/>
        <v>0</v>
      </c>
      <c r="F114" s="259"/>
      <c r="G114" s="259"/>
      <c r="H114" s="259"/>
      <c r="I114" s="259"/>
    </row>
    <row r="115" spans="1:9" x14ac:dyDescent="0.35">
      <c r="A115" s="836"/>
      <c r="B115" s="839"/>
      <c r="C115" s="190" t="s">
        <v>31</v>
      </c>
      <c r="D115" s="595" t="str">
        <f>IF(E115='Parametre - Agendové IS'!Q92,"OK","Chyba počtu FTE")</f>
        <v>OK</v>
      </c>
      <c r="E115" s="596">
        <f t="shared" si="3"/>
        <v>0</v>
      </c>
      <c r="F115" s="259"/>
      <c r="G115" s="259"/>
      <c r="H115" s="259"/>
      <c r="I115" s="259"/>
    </row>
    <row r="116" spans="1:9" x14ac:dyDescent="0.35">
      <c r="A116" s="836"/>
      <c r="B116" s="839"/>
      <c r="C116" s="190" t="s">
        <v>32</v>
      </c>
      <c r="D116" s="595" t="str">
        <f>IF(E116='Parametre - Agendové IS'!Q93,"OK","Chyba počtu FTE")</f>
        <v>OK</v>
      </c>
      <c r="E116" s="596">
        <f t="shared" si="3"/>
        <v>0</v>
      </c>
      <c r="F116" s="259"/>
      <c r="G116" s="259"/>
      <c r="H116" s="259"/>
      <c r="I116" s="259"/>
    </row>
    <row r="117" spans="1:9" x14ac:dyDescent="0.35">
      <c r="A117" s="836"/>
      <c r="B117" s="839"/>
      <c r="C117" s="190" t="s">
        <v>33</v>
      </c>
      <c r="D117" s="595" t="str">
        <f>IF(E117='Parametre - Agendové IS'!Q94,"OK","Chyba počtu FTE")</f>
        <v>OK</v>
      </c>
      <c r="E117" s="596">
        <f t="shared" si="3"/>
        <v>0</v>
      </c>
      <c r="F117" s="259"/>
      <c r="G117" s="259"/>
      <c r="H117" s="259"/>
      <c r="I117" s="259"/>
    </row>
    <row r="118" spans="1:9" ht="15" thickBot="1" x14ac:dyDescent="0.4">
      <c r="A118" s="836"/>
      <c r="B118" s="839"/>
      <c r="C118" s="190" t="s">
        <v>34</v>
      </c>
      <c r="D118" s="597" t="str">
        <f>IF(E118='Parametre - Agendové IS'!Q95,"OK","Chyba počtu FTE")</f>
        <v>OK</v>
      </c>
      <c r="E118" s="598">
        <f t="shared" si="3"/>
        <v>0</v>
      </c>
      <c r="F118" s="260"/>
      <c r="G118" s="260"/>
      <c r="H118" s="260"/>
      <c r="I118" s="260"/>
    </row>
    <row r="119" spans="1:9" x14ac:dyDescent="0.35">
      <c r="A119" s="835" t="s">
        <v>41</v>
      </c>
      <c r="B119" s="838" t="s">
        <v>37</v>
      </c>
      <c r="C119" s="193" t="s">
        <v>25</v>
      </c>
      <c r="D119" s="594" t="str">
        <f>IF(E119='Parametre - Agendové IS'!Q5,"OK","Chyba počtu podaní")</f>
        <v>OK</v>
      </c>
      <c r="E119" s="599">
        <f t="shared" si="3"/>
        <v>0</v>
      </c>
      <c r="F119" s="258"/>
      <c r="G119" s="258"/>
      <c r="H119" s="258"/>
      <c r="I119" s="258"/>
    </row>
    <row r="120" spans="1:9" x14ac:dyDescent="0.35">
      <c r="A120" s="836"/>
      <c r="B120" s="839"/>
      <c r="C120" s="190" t="s">
        <v>26</v>
      </c>
      <c r="D120" s="595" t="str">
        <f>IF(E120='Parametre - Agendové IS'!Q6,"OK","Chyba počtu podaní")</f>
        <v>OK</v>
      </c>
      <c r="E120" s="596">
        <f t="shared" si="3"/>
        <v>0</v>
      </c>
      <c r="F120" s="259"/>
      <c r="G120" s="259"/>
      <c r="H120" s="259"/>
      <c r="I120" s="259"/>
    </row>
    <row r="121" spans="1:9" x14ac:dyDescent="0.35">
      <c r="A121" s="836"/>
      <c r="B121" s="839"/>
      <c r="C121" s="190" t="s">
        <v>27</v>
      </c>
      <c r="D121" s="595" t="str">
        <f>IF(E121='Parametre - Agendové IS'!Q7,"OK","Chyba počtu podaní")</f>
        <v>OK</v>
      </c>
      <c r="E121" s="596">
        <f t="shared" si="3"/>
        <v>0</v>
      </c>
      <c r="F121" s="259"/>
      <c r="G121" s="259"/>
      <c r="H121" s="259"/>
      <c r="I121" s="259"/>
    </row>
    <row r="122" spans="1:9" x14ac:dyDescent="0.35">
      <c r="A122" s="836"/>
      <c r="B122" s="839"/>
      <c r="C122" s="190" t="s">
        <v>28</v>
      </c>
      <c r="D122" s="595" t="str">
        <f>IF(E122='Parametre - Agendové IS'!Q8,"OK","Chyba počtu podaní")</f>
        <v>OK</v>
      </c>
      <c r="E122" s="596">
        <f t="shared" si="3"/>
        <v>0</v>
      </c>
      <c r="F122" s="259"/>
      <c r="G122" s="259"/>
      <c r="H122" s="259"/>
      <c r="I122" s="259"/>
    </row>
    <row r="123" spans="1:9" x14ac:dyDescent="0.35">
      <c r="A123" s="836"/>
      <c r="B123" s="839"/>
      <c r="C123" s="190" t="s">
        <v>29</v>
      </c>
      <c r="D123" s="595" t="str">
        <f>IF(E123='Parametre - Agendové IS'!Q9,"OK","Chyba počtu podaní")</f>
        <v>OK</v>
      </c>
      <c r="E123" s="596">
        <f t="shared" si="3"/>
        <v>0</v>
      </c>
      <c r="F123" s="259"/>
      <c r="G123" s="259"/>
      <c r="H123" s="259"/>
      <c r="I123" s="259"/>
    </row>
    <row r="124" spans="1:9" x14ac:dyDescent="0.35">
      <c r="A124" s="836"/>
      <c r="B124" s="839"/>
      <c r="C124" s="190" t="s">
        <v>30</v>
      </c>
      <c r="D124" s="595" t="str">
        <f>IF(E124='Parametre - Agendové IS'!Q10,"OK","Chyba počtu podaní")</f>
        <v>OK</v>
      </c>
      <c r="E124" s="596">
        <f t="shared" si="3"/>
        <v>0</v>
      </c>
      <c r="F124" s="259"/>
      <c r="G124" s="259"/>
      <c r="H124" s="259"/>
      <c r="I124" s="259"/>
    </row>
    <row r="125" spans="1:9" x14ac:dyDescent="0.35">
      <c r="A125" s="836"/>
      <c r="B125" s="839"/>
      <c r="C125" s="190" t="s">
        <v>31</v>
      </c>
      <c r="D125" s="595" t="str">
        <f>IF(E125='Parametre - Agendové IS'!Q11,"OK","Chyba počtu podaní")</f>
        <v>OK</v>
      </c>
      <c r="E125" s="596">
        <f t="shared" si="3"/>
        <v>0</v>
      </c>
      <c r="F125" s="259"/>
      <c r="G125" s="259"/>
      <c r="H125" s="259"/>
      <c r="I125" s="259"/>
    </row>
    <row r="126" spans="1:9" x14ac:dyDescent="0.35">
      <c r="A126" s="836"/>
      <c r="B126" s="839"/>
      <c r="C126" s="190" t="s">
        <v>32</v>
      </c>
      <c r="D126" s="595" t="str">
        <f>IF(E126='Parametre - Agendové IS'!Q12,"OK","Chyba počtu podaní")</f>
        <v>OK</v>
      </c>
      <c r="E126" s="596">
        <f t="shared" si="3"/>
        <v>0</v>
      </c>
      <c r="F126" s="259"/>
      <c r="G126" s="259"/>
      <c r="H126" s="259"/>
      <c r="I126" s="259"/>
    </row>
    <row r="127" spans="1:9" x14ac:dyDescent="0.35">
      <c r="A127" s="836"/>
      <c r="B127" s="839"/>
      <c r="C127" s="190" t="s">
        <v>33</v>
      </c>
      <c r="D127" s="595" t="str">
        <f>IF(E127='Parametre - Agendové IS'!Q13,"OK","Chyba počtu podaní")</f>
        <v>OK</v>
      </c>
      <c r="E127" s="596">
        <f t="shared" si="3"/>
        <v>0</v>
      </c>
      <c r="F127" s="259"/>
      <c r="G127" s="259"/>
      <c r="H127" s="259"/>
      <c r="I127" s="259"/>
    </row>
    <row r="128" spans="1:9" ht="15" thickBot="1" x14ac:dyDescent="0.4">
      <c r="A128" s="837"/>
      <c r="B128" s="840"/>
      <c r="C128" s="191" t="s">
        <v>34</v>
      </c>
      <c r="D128" s="595" t="str">
        <f>IF(E128='Parametre - Agendové IS'!Q14,"OK","Chyba počtu podaní")</f>
        <v>OK</v>
      </c>
      <c r="E128" s="596">
        <f t="shared" si="3"/>
        <v>0</v>
      </c>
      <c r="F128" s="259"/>
      <c r="G128" s="259"/>
      <c r="H128" s="259"/>
      <c r="I128" s="259"/>
    </row>
    <row r="129" spans="1:9" x14ac:dyDescent="0.35">
      <c r="A129" s="835" t="s">
        <v>39</v>
      </c>
      <c r="B129" s="838" t="s">
        <v>13</v>
      </c>
      <c r="C129" s="193" t="s">
        <v>25</v>
      </c>
      <c r="D129" s="594" t="str">
        <f>IF(E129='Parametre - Agendové IS'!Q126,"OK","Chyba")</f>
        <v>OK</v>
      </c>
      <c r="E129" s="599">
        <f t="shared" si="3"/>
        <v>0</v>
      </c>
      <c r="F129" s="258"/>
      <c r="G129" s="258"/>
      <c r="H129" s="258"/>
      <c r="I129" s="258"/>
    </row>
    <row r="130" spans="1:9" x14ac:dyDescent="0.35">
      <c r="A130" s="836"/>
      <c r="B130" s="839"/>
      <c r="C130" s="190" t="s">
        <v>26</v>
      </c>
      <c r="D130" s="595" t="str">
        <f>IF(E130='Parametre - Agendové IS'!Q127,"OK","Chyba")</f>
        <v>OK</v>
      </c>
      <c r="E130" s="596">
        <f t="shared" si="3"/>
        <v>0</v>
      </c>
      <c r="F130" s="259"/>
      <c r="G130" s="259"/>
      <c r="H130" s="259"/>
      <c r="I130" s="259"/>
    </row>
    <row r="131" spans="1:9" x14ac:dyDescent="0.35">
      <c r="A131" s="836"/>
      <c r="B131" s="839"/>
      <c r="C131" s="190" t="s">
        <v>27</v>
      </c>
      <c r="D131" s="595" t="str">
        <f>IF(E131='Parametre - Agendové IS'!Q128,"OK","Chyba")</f>
        <v>OK</v>
      </c>
      <c r="E131" s="596">
        <f t="shared" si="3"/>
        <v>0</v>
      </c>
      <c r="F131" s="259"/>
      <c r="G131" s="259"/>
      <c r="H131" s="259"/>
      <c r="I131" s="259"/>
    </row>
    <row r="132" spans="1:9" x14ac:dyDescent="0.35">
      <c r="A132" s="836"/>
      <c r="B132" s="839"/>
      <c r="C132" s="190" t="s">
        <v>28</v>
      </c>
      <c r="D132" s="595" t="str">
        <f>IF(E132='Parametre - Agendové IS'!Q129,"OK","Chyba")</f>
        <v>OK</v>
      </c>
      <c r="E132" s="596">
        <f t="shared" si="3"/>
        <v>0</v>
      </c>
      <c r="F132" s="259"/>
      <c r="G132" s="259"/>
      <c r="H132" s="259"/>
      <c r="I132" s="259"/>
    </row>
    <row r="133" spans="1:9" x14ac:dyDescent="0.35">
      <c r="A133" s="836"/>
      <c r="B133" s="839"/>
      <c r="C133" s="190" t="s">
        <v>29</v>
      </c>
      <c r="D133" s="595" t="str">
        <f>IF(E133='Parametre - Agendové IS'!Q130,"OK","Chyba")</f>
        <v>OK</v>
      </c>
      <c r="E133" s="596">
        <f t="shared" si="3"/>
        <v>0</v>
      </c>
      <c r="F133" s="259"/>
      <c r="G133" s="259"/>
      <c r="H133" s="259"/>
      <c r="I133" s="259"/>
    </row>
    <row r="134" spans="1:9" x14ac:dyDescent="0.35">
      <c r="A134" s="836"/>
      <c r="B134" s="839"/>
      <c r="C134" s="190" t="s">
        <v>30</v>
      </c>
      <c r="D134" s="595" t="str">
        <f>IF(E134='Parametre - Agendové IS'!Q131,"OK","Chyba")</f>
        <v>OK</v>
      </c>
      <c r="E134" s="596">
        <f t="shared" si="3"/>
        <v>0</v>
      </c>
      <c r="F134" s="259"/>
      <c r="G134" s="259"/>
      <c r="H134" s="259"/>
      <c r="I134" s="259"/>
    </row>
    <row r="135" spans="1:9" x14ac:dyDescent="0.35">
      <c r="A135" s="836"/>
      <c r="B135" s="839"/>
      <c r="C135" s="190" t="s">
        <v>31</v>
      </c>
      <c r="D135" s="595" t="str">
        <f>IF(E135='Parametre - Agendové IS'!Q132,"OK","Chyba")</f>
        <v>OK</v>
      </c>
      <c r="E135" s="596">
        <f t="shared" si="3"/>
        <v>0</v>
      </c>
      <c r="F135" s="259"/>
      <c r="G135" s="259"/>
      <c r="H135" s="259"/>
      <c r="I135" s="259"/>
    </row>
    <row r="136" spans="1:9" x14ac:dyDescent="0.35">
      <c r="A136" s="836"/>
      <c r="B136" s="839"/>
      <c r="C136" s="190" t="s">
        <v>32</v>
      </c>
      <c r="D136" s="595" t="str">
        <f>IF(E136='Parametre - Agendové IS'!Q133,"OK","Chyba")</f>
        <v>OK</v>
      </c>
      <c r="E136" s="596">
        <f t="shared" si="3"/>
        <v>0</v>
      </c>
      <c r="F136" s="259"/>
      <c r="G136" s="259"/>
      <c r="H136" s="259"/>
      <c r="I136" s="259"/>
    </row>
    <row r="137" spans="1:9" x14ac:dyDescent="0.35">
      <c r="A137" s="836"/>
      <c r="B137" s="839"/>
      <c r="C137" s="190" t="s">
        <v>33</v>
      </c>
      <c r="D137" s="595" t="str">
        <f>IF(E137='Parametre - Agendové IS'!Q134,"OK","Chyba")</f>
        <v>OK</v>
      </c>
      <c r="E137" s="596">
        <f t="shared" si="3"/>
        <v>0</v>
      </c>
      <c r="F137" s="259"/>
      <c r="G137" s="259"/>
      <c r="H137" s="259"/>
      <c r="I137" s="259"/>
    </row>
    <row r="138" spans="1:9" ht="15" thickBot="1" x14ac:dyDescent="0.4">
      <c r="A138" s="837"/>
      <c r="B138" s="840"/>
      <c r="C138" s="191" t="s">
        <v>34</v>
      </c>
      <c r="D138" s="595" t="str">
        <f>IF(E138='Parametre - Agendové IS'!Q135,"OK","Chyba")</f>
        <v>OK</v>
      </c>
      <c r="E138" s="596">
        <f t="shared" si="3"/>
        <v>0</v>
      </c>
      <c r="F138" s="259"/>
      <c r="G138" s="259"/>
      <c r="H138" s="259"/>
      <c r="I138" s="259"/>
    </row>
  </sheetData>
  <mergeCells count="32">
    <mergeCell ref="A129:A138"/>
    <mergeCell ref="B129:B138"/>
    <mergeCell ref="A24:A33"/>
    <mergeCell ref="B24:B33"/>
    <mergeCell ref="A59:A68"/>
    <mergeCell ref="B59:B68"/>
    <mergeCell ref="A94:A103"/>
    <mergeCell ref="B94:B103"/>
    <mergeCell ref="A37:C38"/>
    <mergeCell ref="A39:A48"/>
    <mergeCell ref="B39:B48"/>
    <mergeCell ref="A49:A58"/>
    <mergeCell ref="B49:B58"/>
    <mergeCell ref="A72:C73"/>
    <mergeCell ref="A74:A83"/>
    <mergeCell ref="B74:B83"/>
    <mergeCell ref="D107:E107"/>
    <mergeCell ref="D72:E72"/>
    <mergeCell ref="D37:E37"/>
    <mergeCell ref="D2:E2"/>
    <mergeCell ref="A2:C3"/>
    <mergeCell ref="B4:B13"/>
    <mergeCell ref="A14:A23"/>
    <mergeCell ref="B14:B23"/>
    <mergeCell ref="A4:A13"/>
    <mergeCell ref="A119:A128"/>
    <mergeCell ref="B119:B128"/>
    <mergeCell ref="A109:A118"/>
    <mergeCell ref="B109:B118"/>
    <mergeCell ref="A84:A93"/>
    <mergeCell ref="B84:B93"/>
    <mergeCell ref="A107:C108"/>
  </mergeCells>
  <pageMargins left="0.7" right="0.7" top="0.75" bottom="0.75" header="0.3" footer="0.3"/>
  <pageSetup paperSize="9" scale="3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vt:i4>
      </vt:variant>
    </vt:vector>
  </HeadingPairs>
  <TitlesOfParts>
    <vt:vector size="23" baseType="lpstr">
      <vt:lpstr>Úvod</vt:lpstr>
      <vt:lpstr>Zoznam hárkov</vt:lpstr>
      <vt:lpstr>Sumarizácia</vt:lpstr>
      <vt:lpstr>CBA - Agendové IS</vt:lpstr>
      <vt:lpstr>Analyza citlivosti - AgendovéIS</vt:lpstr>
      <vt:lpstr>Prínosy - Agendové IS</vt:lpstr>
      <vt:lpstr>Výdavky - Agendové IS</vt:lpstr>
      <vt:lpstr>Parametre - Agendové IS</vt:lpstr>
      <vt:lpstr>TCO</vt:lpstr>
      <vt:lpstr>TCO AS IS - SW</vt:lpstr>
      <vt:lpstr>TCO AS IS - HW</vt:lpstr>
      <vt:lpstr>TCO TO BE- SW</vt:lpstr>
      <vt:lpstr>TCO TO BE - HW</vt:lpstr>
      <vt:lpstr>Rozpočet - vývoj Aplikácií</vt:lpstr>
      <vt:lpstr>Rozpočet - HW a licencie</vt:lpstr>
      <vt:lpstr>Aktivity</vt:lpstr>
      <vt:lpstr>Slepý rozpočet</vt:lpstr>
      <vt:lpstr>Faktory</vt:lpstr>
      <vt:lpstr>Procesné mapy</vt:lpstr>
      <vt:lpstr>Procesy - AS IS</vt:lpstr>
      <vt:lpstr>Procesy - TO BE</vt:lpstr>
      <vt:lpstr>Rozdelenie prínosov</vt:lpstr>
      <vt:lpstr>'Procesné mapy'!Print_Area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Krok Martin</dc:creator>
  <cp:lastModifiedBy>Sedlacek, Martin</cp:lastModifiedBy>
  <cp:lastPrinted>2018-08-24T09:21:09Z</cp:lastPrinted>
  <dcterms:created xsi:type="dcterms:W3CDTF">2015-01-29T13:50:20Z</dcterms:created>
  <dcterms:modified xsi:type="dcterms:W3CDTF">2019-11-15T10:22:20Z</dcterms:modified>
</cp:coreProperties>
</file>